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us\Downloads\"/>
    </mc:Choice>
  </mc:AlternateContent>
  <xr:revisionPtr revIDLastSave="0" documentId="13_ncr:1_{B38B3B16-242C-408B-9E7B-AAC73A8021CC}" xr6:coauthVersionLast="47" xr6:coauthVersionMax="47" xr10:uidLastSave="{00000000-0000-0000-0000-000000000000}"/>
  <bookViews>
    <workbookView xWindow="-108" yWindow="-108" windowWidth="23256" windowHeight="12576" xr2:uid="{D6928906-DF0B-4EA6-83EF-2B144E67FEFB}"/>
  </bookViews>
  <sheets>
    <sheet name="真実の家賃" sheetId="4" r:id="rId1"/>
    <sheet name="損益分岐点" sheetId="8" r:id="rId2"/>
    <sheet name="計算用1" sheetId="5" state="hidden" r:id="rId3"/>
    <sheet name="計算用2" sheetId="7" state="hidden" r:id="rId4"/>
    <sheet name="計算用3" sheetId="9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9" l="1"/>
  <c r="W2" i="9"/>
  <c r="W4" i="9" s="1"/>
  <c r="F5" i="4"/>
  <c r="F5" i="8" s="1"/>
  <c r="F4" i="8"/>
  <c r="F14" i="8"/>
  <c r="I10" i="9"/>
  <c r="E15" i="9"/>
  <c r="E5" i="9"/>
  <c r="F4" i="4"/>
  <c r="E18" i="5"/>
  <c r="F8" i="4"/>
  <c r="F8" i="8" s="1"/>
  <c r="AA3" i="5"/>
  <c r="F10" i="4" s="1"/>
  <c r="H779" i="7"/>
  <c r="AD22" i="7"/>
  <c r="AD12" i="7"/>
  <c r="AD4" i="7" s="1"/>
  <c r="AD5" i="7" s="1"/>
  <c r="AD6" i="7" s="1"/>
  <c r="AD7" i="7" s="1"/>
  <c r="AD8" i="7" s="1"/>
  <c r="AD9" i="7" s="1"/>
  <c r="AD10" i="7" s="1"/>
  <c r="AD11" i="7" s="1"/>
  <c r="H175" i="7" s="1"/>
  <c r="AH11" i="7" s="1"/>
  <c r="AD32" i="7"/>
  <c r="AD52" i="7" s="1"/>
  <c r="H1036" i="7" s="1"/>
  <c r="AH52" i="7" s="1"/>
  <c r="H7" i="5"/>
  <c r="E13" i="5" s="1"/>
  <c r="AD32" i="5"/>
  <c r="AD34" i="5" s="1"/>
  <c r="H658" i="5" s="1"/>
  <c r="AD12" i="5"/>
  <c r="AD4" i="5" s="1"/>
  <c r="AD22" i="5"/>
  <c r="H406" i="5" s="1"/>
  <c r="H7" i="7"/>
  <c r="E16" i="7" s="1"/>
  <c r="E624" i="9"/>
  <c r="L1032" i="9"/>
  <c r="I1036" i="9" s="1"/>
  <c r="L1033" i="9"/>
  <c r="E1044" i="9"/>
  <c r="L969" i="9"/>
  <c r="I973" i="9" s="1"/>
  <c r="L970" i="9"/>
  <c r="I976" i="9"/>
  <c r="I977" i="9" s="1"/>
  <c r="E981" i="9"/>
  <c r="L990" i="9"/>
  <c r="I994" i="9" s="1"/>
  <c r="L991" i="9"/>
  <c r="I997" i="9"/>
  <c r="I998" i="9" s="1"/>
  <c r="E1002" i="9"/>
  <c r="L1011" i="9"/>
  <c r="L1012" i="9"/>
  <c r="I1018" i="9" s="1"/>
  <c r="I1019" i="9" s="1"/>
  <c r="E1023" i="9"/>
  <c r="L949" i="9"/>
  <c r="I955" i="9" s="1"/>
  <c r="I956" i="9" s="1"/>
  <c r="L822" i="9"/>
  <c r="L823" i="9"/>
  <c r="I829" i="9" s="1"/>
  <c r="I830" i="9" s="1"/>
  <c r="E834" i="9"/>
  <c r="L843" i="9"/>
  <c r="L844" i="9"/>
  <c r="I850" i="9" s="1"/>
  <c r="I851" i="9" s="1"/>
  <c r="E855" i="9"/>
  <c r="L864" i="9"/>
  <c r="L865" i="9"/>
  <c r="I871" i="9" s="1"/>
  <c r="I872" i="9" s="1"/>
  <c r="E876" i="9"/>
  <c r="L885" i="9"/>
  <c r="L886" i="9"/>
  <c r="I892" i="9" s="1"/>
  <c r="I893" i="9" s="1"/>
  <c r="E897" i="9"/>
  <c r="L906" i="9"/>
  <c r="I910" i="9" s="1"/>
  <c r="L907" i="9"/>
  <c r="I913" i="9" s="1"/>
  <c r="I914" i="9" s="1"/>
  <c r="E918" i="9"/>
  <c r="L927" i="9"/>
  <c r="I931" i="9" s="1"/>
  <c r="L928" i="9"/>
  <c r="I934" i="9" s="1"/>
  <c r="I935" i="9" s="1"/>
  <c r="E939" i="9"/>
  <c r="L948" i="9"/>
  <c r="I952" i="9" s="1"/>
  <c r="E960" i="9"/>
  <c r="L654" i="9"/>
  <c r="L655" i="9"/>
  <c r="I661" i="9" s="1"/>
  <c r="I662" i="9" s="1"/>
  <c r="E666" i="9"/>
  <c r="L675" i="9"/>
  <c r="I679" i="9" s="1"/>
  <c r="L676" i="9"/>
  <c r="E687" i="9"/>
  <c r="L696" i="9"/>
  <c r="I700" i="9" s="1"/>
  <c r="L697" i="9"/>
  <c r="I703" i="9" s="1"/>
  <c r="I704" i="9" s="1"/>
  <c r="E708" i="9"/>
  <c r="L717" i="9"/>
  <c r="I721" i="9" s="1"/>
  <c r="L718" i="9"/>
  <c r="E729" i="9"/>
  <c r="L738" i="9"/>
  <c r="I742" i="9" s="1"/>
  <c r="L739" i="9"/>
  <c r="I745" i="9" s="1"/>
  <c r="I746" i="9" s="1"/>
  <c r="E750" i="9"/>
  <c r="L759" i="9"/>
  <c r="I763" i="9" s="1"/>
  <c r="L760" i="9"/>
  <c r="I766" i="9" s="1"/>
  <c r="I767" i="9" s="1"/>
  <c r="E771" i="9"/>
  <c r="L780" i="9"/>
  <c r="I784" i="9" s="1"/>
  <c r="L781" i="9"/>
  <c r="I787" i="9" s="1"/>
  <c r="I788" i="9" s="1"/>
  <c r="E792" i="9"/>
  <c r="L801" i="9"/>
  <c r="L802" i="9"/>
  <c r="I808" i="9" s="1"/>
  <c r="I809" i="9" s="1"/>
  <c r="E813" i="9"/>
  <c r="L634" i="9"/>
  <c r="I640" i="9" s="1"/>
  <c r="I641" i="9" s="1"/>
  <c r="E351" i="9"/>
  <c r="L339" i="9"/>
  <c r="I341" i="9" s="1"/>
  <c r="L340" i="9"/>
  <c r="I346" i="9" s="1"/>
  <c r="L360" i="9"/>
  <c r="I364" i="9" s="1"/>
  <c r="L361" i="9"/>
  <c r="I367" i="9" s="1"/>
  <c r="I368" i="9" s="1"/>
  <c r="E372" i="9"/>
  <c r="L381" i="9"/>
  <c r="L382" i="9"/>
  <c r="I388" i="9" s="1"/>
  <c r="I389" i="9" s="1"/>
  <c r="E393" i="9"/>
  <c r="L402" i="9"/>
  <c r="L403" i="9"/>
  <c r="I409" i="9" s="1"/>
  <c r="I410" i="9" s="1"/>
  <c r="E414" i="9"/>
  <c r="L423" i="9"/>
  <c r="I427" i="9" s="1"/>
  <c r="L424" i="9"/>
  <c r="I430" i="9" s="1"/>
  <c r="I431" i="9" s="1"/>
  <c r="E435" i="9"/>
  <c r="L444" i="9"/>
  <c r="I448" i="9" s="1"/>
  <c r="L445" i="9"/>
  <c r="I451" i="9" s="1"/>
  <c r="I452" i="9" s="1"/>
  <c r="E456" i="9"/>
  <c r="L465" i="9"/>
  <c r="I469" i="9" s="1"/>
  <c r="L466" i="9"/>
  <c r="I472" i="9" s="1"/>
  <c r="I473" i="9" s="1"/>
  <c r="E477" i="9"/>
  <c r="L486" i="9"/>
  <c r="I490" i="9" s="1"/>
  <c r="L487" i="9"/>
  <c r="I493" i="9" s="1"/>
  <c r="I494" i="9" s="1"/>
  <c r="E498" i="9"/>
  <c r="L507" i="9"/>
  <c r="I511" i="9" s="1"/>
  <c r="L508" i="9"/>
  <c r="I514" i="9" s="1"/>
  <c r="I515" i="9" s="1"/>
  <c r="E519" i="9"/>
  <c r="L528" i="9"/>
  <c r="I532" i="9" s="1"/>
  <c r="L529" i="9"/>
  <c r="I535" i="9" s="1"/>
  <c r="I536" i="9" s="1"/>
  <c r="E540" i="9"/>
  <c r="L549" i="9"/>
  <c r="I553" i="9" s="1"/>
  <c r="L550" i="9"/>
  <c r="I556" i="9" s="1"/>
  <c r="I557" i="9" s="1"/>
  <c r="E561" i="9"/>
  <c r="L570" i="9"/>
  <c r="L571" i="9"/>
  <c r="I577" i="9" s="1"/>
  <c r="I578" i="9" s="1"/>
  <c r="E582" i="9"/>
  <c r="L591" i="9"/>
  <c r="L592" i="9"/>
  <c r="I598" i="9" s="1"/>
  <c r="I599" i="9" s="1"/>
  <c r="E603" i="9"/>
  <c r="L612" i="9"/>
  <c r="I616" i="9" s="1"/>
  <c r="L613" i="9"/>
  <c r="I619" i="9" s="1"/>
  <c r="L633" i="9"/>
  <c r="I637" i="9" s="1"/>
  <c r="E645" i="9"/>
  <c r="L319" i="9"/>
  <c r="I325" i="9" s="1"/>
  <c r="I326" i="9" s="1"/>
  <c r="L298" i="9"/>
  <c r="I304" i="9" s="1"/>
  <c r="I305" i="9" s="1"/>
  <c r="L66" i="9"/>
  <c r="L67" i="9"/>
  <c r="I73" i="9" s="1"/>
  <c r="I74" i="9" s="1"/>
  <c r="E78" i="9"/>
  <c r="L87" i="9"/>
  <c r="L88" i="9"/>
  <c r="I94" i="9" s="1"/>
  <c r="I95" i="9" s="1"/>
  <c r="E99" i="9"/>
  <c r="L108" i="9"/>
  <c r="L109" i="9"/>
  <c r="I115" i="9" s="1"/>
  <c r="I116" i="9" s="1"/>
  <c r="E120" i="9"/>
  <c r="L129" i="9"/>
  <c r="L130" i="9"/>
  <c r="I136" i="9" s="1"/>
  <c r="I137" i="9" s="1"/>
  <c r="E141" i="9"/>
  <c r="L150" i="9"/>
  <c r="I154" i="9" s="1"/>
  <c r="L151" i="9"/>
  <c r="I157" i="9" s="1"/>
  <c r="I158" i="9" s="1"/>
  <c r="E162" i="9"/>
  <c r="L171" i="9"/>
  <c r="I175" i="9" s="1"/>
  <c r="L172" i="9"/>
  <c r="I178" i="9" s="1"/>
  <c r="I179" i="9" s="1"/>
  <c r="E183" i="9"/>
  <c r="L192" i="9"/>
  <c r="I196" i="9" s="1"/>
  <c r="L193" i="9"/>
  <c r="I199" i="9" s="1"/>
  <c r="I200" i="9" s="1"/>
  <c r="E204" i="9"/>
  <c r="L213" i="9"/>
  <c r="I217" i="9" s="1"/>
  <c r="L214" i="9"/>
  <c r="I220" i="9" s="1"/>
  <c r="I221" i="9" s="1"/>
  <c r="E225" i="9"/>
  <c r="L234" i="9"/>
  <c r="I238" i="9" s="1"/>
  <c r="L235" i="9"/>
  <c r="I241" i="9" s="1"/>
  <c r="I242" i="9" s="1"/>
  <c r="E246" i="9"/>
  <c r="L255" i="9"/>
  <c r="L256" i="9"/>
  <c r="I262" i="9" s="1"/>
  <c r="I263" i="9" s="1"/>
  <c r="E267" i="9"/>
  <c r="L276" i="9"/>
  <c r="L277" i="9"/>
  <c r="I283" i="9" s="1"/>
  <c r="I284" i="9" s="1"/>
  <c r="E288" i="9"/>
  <c r="L297" i="9"/>
  <c r="E309" i="9"/>
  <c r="L318" i="9"/>
  <c r="I322" i="9" s="1"/>
  <c r="E330" i="9"/>
  <c r="E57" i="9"/>
  <c r="E36" i="9"/>
  <c r="L45" i="9"/>
  <c r="I49" i="9" s="1"/>
  <c r="L46" i="9"/>
  <c r="I52" i="9" s="1"/>
  <c r="I53" i="9" s="1"/>
  <c r="L24" i="9"/>
  <c r="I28" i="9" s="1"/>
  <c r="L25" i="9"/>
  <c r="I31" i="9" s="1"/>
  <c r="L4" i="9"/>
  <c r="I11" i="9" s="1"/>
  <c r="M4" i="8"/>
  <c r="T2" i="9"/>
  <c r="T7" i="9" s="1"/>
  <c r="M3" i="8" s="1"/>
  <c r="J9" i="8" s="1"/>
  <c r="Z3" i="7"/>
  <c r="I5" i="9" l="1"/>
  <c r="W3" i="9"/>
  <c r="I8" i="9" s="1"/>
  <c r="F10" i="8"/>
  <c r="F6" i="4"/>
  <c r="J4" i="8"/>
  <c r="J5" i="8" s="1"/>
  <c r="W23" i="9"/>
  <c r="I7" i="9"/>
  <c r="AG52" i="7"/>
  <c r="AG3" i="7"/>
  <c r="AG11" i="7"/>
  <c r="E16" i="5"/>
  <c r="E17" i="5" s="1"/>
  <c r="AH3" i="7"/>
  <c r="AG34" i="5"/>
  <c r="AH34" i="5" s="1"/>
  <c r="H616" i="5"/>
  <c r="AD49" i="5"/>
  <c r="H973" i="5" s="1"/>
  <c r="AD49" i="7"/>
  <c r="H973" i="7" s="1"/>
  <c r="AD47" i="5"/>
  <c r="H931" i="5" s="1"/>
  <c r="AD45" i="5"/>
  <c r="H889" i="5" s="1"/>
  <c r="AD40" i="5"/>
  <c r="H784" i="5" s="1"/>
  <c r="H91" i="7"/>
  <c r="AG3" i="5"/>
  <c r="AH3" i="5" s="1"/>
  <c r="AD51" i="5"/>
  <c r="H1015" i="5" s="1"/>
  <c r="AG51" i="5" s="1"/>
  <c r="AH51" i="5" s="1"/>
  <c r="AD5" i="5"/>
  <c r="H28" i="5"/>
  <c r="AG22" i="5"/>
  <c r="AH22" i="5" s="1"/>
  <c r="AD37" i="7"/>
  <c r="H721" i="7" s="1"/>
  <c r="AD13" i="7"/>
  <c r="H217" i="7" s="1"/>
  <c r="H616" i="7"/>
  <c r="AD13" i="5"/>
  <c r="H196" i="5"/>
  <c r="AD23" i="7"/>
  <c r="H427" i="7" s="1"/>
  <c r="AD33" i="7"/>
  <c r="H637" i="7" s="1"/>
  <c r="AD41" i="7"/>
  <c r="H805" i="7" s="1"/>
  <c r="H28" i="7"/>
  <c r="H112" i="7"/>
  <c r="H196" i="7"/>
  <c r="AD45" i="7"/>
  <c r="H889" i="7" s="1"/>
  <c r="H49" i="7"/>
  <c r="H133" i="7"/>
  <c r="H70" i="7"/>
  <c r="H154" i="7"/>
  <c r="H406" i="7"/>
  <c r="AD34" i="7"/>
  <c r="H658" i="7" s="1"/>
  <c r="AD38" i="7"/>
  <c r="H742" i="7" s="1"/>
  <c r="AD42" i="7"/>
  <c r="H826" i="7" s="1"/>
  <c r="AD46" i="7"/>
  <c r="H910" i="7" s="1"/>
  <c r="AD50" i="7"/>
  <c r="H994" i="7" s="1"/>
  <c r="AD35" i="7"/>
  <c r="H679" i="7" s="1"/>
  <c r="AD39" i="7"/>
  <c r="H763" i="7" s="1"/>
  <c r="AD43" i="7"/>
  <c r="H847" i="7" s="1"/>
  <c r="AD47" i="7"/>
  <c r="H931" i="7" s="1"/>
  <c r="AD51" i="7"/>
  <c r="H1015" i="7" s="1"/>
  <c r="AD36" i="7"/>
  <c r="H700" i="7" s="1"/>
  <c r="AD40" i="7"/>
  <c r="H784" i="7" s="1"/>
  <c r="AD44" i="7"/>
  <c r="H868" i="7" s="1"/>
  <c r="AD48" i="7"/>
  <c r="H952" i="7" s="1"/>
  <c r="AD52" i="5"/>
  <c r="H1036" i="5" s="1"/>
  <c r="AD48" i="5"/>
  <c r="H952" i="5" s="1"/>
  <c r="AD44" i="5"/>
  <c r="H868" i="5" s="1"/>
  <c r="AD38" i="5"/>
  <c r="H742" i="5" s="1"/>
  <c r="AD33" i="5"/>
  <c r="H637" i="5" s="1"/>
  <c r="AD42" i="5"/>
  <c r="H826" i="5" s="1"/>
  <c r="AD37" i="5"/>
  <c r="H721" i="5" s="1"/>
  <c r="AD23" i="5"/>
  <c r="AD50" i="5"/>
  <c r="H994" i="5" s="1"/>
  <c r="AD46" i="5"/>
  <c r="H910" i="5" s="1"/>
  <c r="AD41" i="5"/>
  <c r="H805" i="5" s="1"/>
  <c r="AD36" i="5"/>
  <c r="H700" i="5" s="1"/>
  <c r="AD43" i="5"/>
  <c r="H847" i="5" s="1"/>
  <c r="AD39" i="5"/>
  <c r="H763" i="5" s="1"/>
  <c r="AD35" i="5"/>
  <c r="H679" i="5" s="1"/>
  <c r="I677" i="9"/>
  <c r="I678" i="9" s="1"/>
  <c r="I719" i="9"/>
  <c r="I720" i="9" s="1"/>
  <c r="I803" i="9"/>
  <c r="I804" i="9" s="1"/>
  <c r="I992" i="9"/>
  <c r="I993" i="9" s="1"/>
  <c r="I446" i="9"/>
  <c r="I447" i="9" s="1"/>
  <c r="I1013" i="9"/>
  <c r="I1014" i="9" s="1"/>
  <c r="I724" i="9"/>
  <c r="I725" i="9" s="1"/>
  <c r="I805" i="9"/>
  <c r="W24" i="9"/>
  <c r="I869" i="9" s="1"/>
  <c r="I614" i="9"/>
  <c r="I615" i="9" s="1"/>
  <c r="I593" i="9"/>
  <c r="I594" i="9" s="1"/>
  <c r="I887" i="9"/>
  <c r="I888" i="9" s="1"/>
  <c r="I866" i="9"/>
  <c r="I867" i="9" s="1"/>
  <c r="I845" i="9"/>
  <c r="I846" i="9" s="1"/>
  <c r="I824" i="9"/>
  <c r="I825" i="9" s="1"/>
  <c r="W25" i="9"/>
  <c r="W26" i="9"/>
  <c r="I656" i="9"/>
  <c r="I657" i="9" s="1"/>
  <c r="W27" i="9"/>
  <c r="I551" i="9"/>
  <c r="I552" i="9" s="1"/>
  <c r="I782" i="9"/>
  <c r="I783" i="9" s="1"/>
  <c r="W28" i="9"/>
  <c r="I1037" i="9" s="1"/>
  <c r="I1038" i="9" s="1"/>
  <c r="I971" i="9"/>
  <c r="I972" i="9" s="1"/>
  <c r="I620" i="9"/>
  <c r="I682" i="9"/>
  <c r="I683" i="9" s="1"/>
  <c r="I1034" i="9"/>
  <c r="I1035" i="9" s="1"/>
  <c r="I826" i="9"/>
  <c r="I698" i="9"/>
  <c r="I699" i="9" s="1"/>
  <c r="W22" i="9"/>
  <c r="I1039" i="9"/>
  <c r="I1040" i="9" s="1"/>
  <c r="I1015" i="9"/>
  <c r="I908" i="9"/>
  <c r="I909" i="9" s="1"/>
  <c r="I929" i="9"/>
  <c r="I930" i="9" s="1"/>
  <c r="I950" i="9"/>
  <c r="I951" i="9" s="1"/>
  <c r="I847" i="9"/>
  <c r="I868" i="9"/>
  <c r="I889" i="9"/>
  <c r="I740" i="9"/>
  <c r="I741" i="9" s="1"/>
  <c r="I761" i="9"/>
  <c r="I762" i="9" s="1"/>
  <c r="I658" i="9"/>
  <c r="W14" i="9"/>
  <c r="I343" i="9"/>
  <c r="I572" i="9"/>
  <c r="I573" i="9" s="1"/>
  <c r="I347" i="9"/>
  <c r="I131" i="9"/>
  <c r="I132" i="9" s="1"/>
  <c r="I635" i="9"/>
  <c r="I636" i="9" s="1"/>
  <c r="I488" i="9"/>
  <c r="I489" i="9" s="1"/>
  <c r="I404" i="9"/>
  <c r="I405" i="9" s="1"/>
  <c r="I299" i="9"/>
  <c r="I300" i="9" s="1"/>
  <c r="I595" i="9"/>
  <c r="I509" i="9"/>
  <c r="I510" i="9" s="1"/>
  <c r="I467" i="9"/>
  <c r="I468" i="9" s="1"/>
  <c r="I383" i="9"/>
  <c r="I384" i="9" s="1"/>
  <c r="I89" i="9"/>
  <c r="I90" i="9" s="1"/>
  <c r="I574" i="9"/>
  <c r="I257" i="9"/>
  <c r="I258" i="9" s="1"/>
  <c r="I110" i="9"/>
  <c r="I111" i="9" s="1"/>
  <c r="I362" i="9"/>
  <c r="I363" i="9" s="1"/>
  <c r="I530" i="9"/>
  <c r="I531" i="9" s="1"/>
  <c r="I342" i="9"/>
  <c r="I68" i="9"/>
  <c r="I69" i="9" s="1"/>
  <c r="I70" i="9"/>
  <c r="I301" i="9"/>
  <c r="I112" i="9"/>
  <c r="I278" i="9"/>
  <c r="I279" i="9" s="1"/>
  <c r="I425" i="9"/>
  <c r="I426" i="9" s="1"/>
  <c r="I385" i="9"/>
  <c r="I406" i="9"/>
  <c r="I6" i="9"/>
  <c r="I47" i="9"/>
  <c r="I48" i="9" s="1"/>
  <c r="I280" i="9"/>
  <c r="I236" i="9"/>
  <c r="I237" i="9" s="1"/>
  <c r="I26" i="9"/>
  <c r="I27" i="9" s="1"/>
  <c r="I215" i="9"/>
  <c r="I216" i="9" s="1"/>
  <c r="I91" i="9"/>
  <c r="I259" i="9"/>
  <c r="I320" i="9"/>
  <c r="I321" i="9" s="1"/>
  <c r="I32" i="9"/>
  <c r="I152" i="9"/>
  <c r="I153" i="9" s="1"/>
  <c r="I173" i="9"/>
  <c r="I174" i="9" s="1"/>
  <c r="I194" i="9"/>
  <c r="I195" i="9" s="1"/>
  <c r="I133" i="9"/>
  <c r="W10" i="9"/>
  <c r="W11" i="9"/>
  <c r="I9" i="9"/>
  <c r="W12" i="9"/>
  <c r="W13" i="9"/>
  <c r="W15" i="9"/>
  <c r="I50" i="9"/>
  <c r="W16" i="9"/>
  <c r="W5" i="9"/>
  <c r="W17" i="9"/>
  <c r="W6" i="9"/>
  <c r="W18" i="9"/>
  <c r="W7" i="9"/>
  <c r="W19" i="9"/>
  <c r="W8" i="9"/>
  <c r="W20" i="9"/>
  <c r="W9" i="9"/>
  <c r="W21" i="9"/>
  <c r="J10" i="8"/>
  <c r="H23" i="7"/>
  <c r="H11" i="7"/>
  <c r="E13" i="7" s="1"/>
  <c r="H10" i="7"/>
  <c r="H9" i="7"/>
  <c r="H30" i="7" s="1"/>
  <c r="E26" i="7" s="1"/>
  <c r="H8" i="7"/>
  <c r="E10" i="7" s="1"/>
  <c r="H6" i="7"/>
  <c r="E4" i="7" s="1"/>
  <c r="H5" i="7"/>
  <c r="H26" i="7" s="1"/>
  <c r="H47" i="7" s="1"/>
  <c r="H68" i="7" s="1"/>
  <c r="H89" i="7" s="1"/>
  <c r="H110" i="7" s="1"/>
  <c r="H131" i="7" s="1"/>
  <c r="H152" i="7" s="1"/>
  <c r="H173" i="7" s="1"/>
  <c r="H194" i="7" s="1"/>
  <c r="H215" i="7" s="1"/>
  <c r="H236" i="7" s="1"/>
  <c r="H257" i="7" s="1"/>
  <c r="H278" i="7" s="1"/>
  <c r="H299" i="7" s="1"/>
  <c r="H320" i="7" s="1"/>
  <c r="H341" i="7" s="1"/>
  <c r="H362" i="7" s="1"/>
  <c r="H383" i="7" s="1"/>
  <c r="H404" i="7" s="1"/>
  <c r="H425" i="7" s="1"/>
  <c r="H446" i="7" s="1"/>
  <c r="H467" i="7" s="1"/>
  <c r="H488" i="7" s="1"/>
  <c r="H509" i="7" s="1"/>
  <c r="H530" i="7" s="1"/>
  <c r="H551" i="7" s="1"/>
  <c r="H572" i="7" s="1"/>
  <c r="H593" i="7" s="1"/>
  <c r="H614" i="7" s="1"/>
  <c r="H635" i="7" s="1"/>
  <c r="H656" i="7" s="1"/>
  <c r="H677" i="7" s="1"/>
  <c r="H698" i="7" s="1"/>
  <c r="H719" i="7" s="1"/>
  <c r="H740" i="7" s="1"/>
  <c r="H761" i="7" s="1"/>
  <c r="H782" i="7" s="1"/>
  <c r="H803" i="7" s="1"/>
  <c r="H824" i="7" s="1"/>
  <c r="H845" i="7" s="1"/>
  <c r="H866" i="7" s="1"/>
  <c r="H887" i="7" s="1"/>
  <c r="H908" i="7" s="1"/>
  <c r="H929" i="7" s="1"/>
  <c r="H950" i="7" s="1"/>
  <c r="H971" i="7" s="1"/>
  <c r="H992" i="7" s="1"/>
  <c r="H1013" i="7" s="1"/>
  <c r="H1034" i="7" s="1"/>
  <c r="H4" i="7"/>
  <c r="H25" i="7" s="1"/>
  <c r="H46" i="7" s="1"/>
  <c r="H67" i="7" s="1"/>
  <c r="H88" i="7" s="1"/>
  <c r="H109" i="7" s="1"/>
  <c r="H130" i="7" s="1"/>
  <c r="H151" i="7" s="1"/>
  <c r="H172" i="7" s="1"/>
  <c r="H193" i="7" s="1"/>
  <c r="H214" i="7" s="1"/>
  <c r="H235" i="7" s="1"/>
  <c r="H256" i="7" s="1"/>
  <c r="H277" i="7" s="1"/>
  <c r="H298" i="7" s="1"/>
  <c r="H319" i="7" s="1"/>
  <c r="H340" i="7" s="1"/>
  <c r="H361" i="7" s="1"/>
  <c r="H382" i="7" s="1"/>
  <c r="H403" i="7" s="1"/>
  <c r="H424" i="7" s="1"/>
  <c r="H445" i="7" s="1"/>
  <c r="H466" i="7" s="1"/>
  <c r="H487" i="7" s="1"/>
  <c r="H508" i="7" s="1"/>
  <c r="H529" i="7" s="1"/>
  <c r="H550" i="7" s="1"/>
  <c r="H571" i="7" s="1"/>
  <c r="H592" i="7" s="1"/>
  <c r="H613" i="7" s="1"/>
  <c r="H634" i="7" s="1"/>
  <c r="H655" i="7" s="1"/>
  <c r="H676" i="7" s="1"/>
  <c r="H697" i="7" s="1"/>
  <c r="H718" i="7" s="1"/>
  <c r="H739" i="7" s="1"/>
  <c r="H760" i="7" s="1"/>
  <c r="H781" i="7" s="1"/>
  <c r="H802" i="7" s="1"/>
  <c r="H823" i="7" s="1"/>
  <c r="H844" i="7" s="1"/>
  <c r="H865" i="7" s="1"/>
  <c r="H886" i="7" s="1"/>
  <c r="H907" i="7" s="1"/>
  <c r="H928" i="7" s="1"/>
  <c r="H949" i="7" s="1"/>
  <c r="H970" i="7" s="1"/>
  <c r="H991" i="7" s="1"/>
  <c r="H1012" i="7" s="1"/>
  <c r="H1033" i="7" s="1"/>
  <c r="H3" i="7"/>
  <c r="H24" i="7" s="1"/>
  <c r="H45" i="7" s="1"/>
  <c r="H66" i="7" s="1"/>
  <c r="H87" i="7" s="1"/>
  <c r="H108" i="7" s="1"/>
  <c r="H129" i="7" s="1"/>
  <c r="H150" i="7" s="1"/>
  <c r="H171" i="7" s="1"/>
  <c r="H192" i="7" s="1"/>
  <c r="H213" i="7" s="1"/>
  <c r="H234" i="7" s="1"/>
  <c r="H255" i="7" s="1"/>
  <c r="H276" i="7" s="1"/>
  <c r="H297" i="7" s="1"/>
  <c r="H318" i="7" s="1"/>
  <c r="H339" i="7" s="1"/>
  <c r="H360" i="7" s="1"/>
  <c r="H381" i="7" s="1"/>
  <c r="H402" i="7" s="1"/>
  <c r="H423" i="7" s="1"/>
  <c r="H444" i="7" s="1"/>
  <c r="H465" i="7" s="1"/>
  <c r="H486" i="7" s="1"/>
  <c r="H507" i="7" s="1"/>
  <c r="H528" i="7" s="1"/>
  <c r="H549" i="7" s="1"/>
  <c r="H570" i="7" s="1"/>
  <c r="H591" i="7" s="1"/>
  <c r="H612" i="7" s="1"/>
  <c r="H633" i="7" s="1"/>
  <c r="H654" i="7" s="1"/>
  <c r="H675" i="7" s="1"/>
  <c r="H696" i="7" s="1"/>
  <c r="H717" i="7" s="1"/>
  <c r="H738" i="7" s="1"/>
  <c r="H759" i="7" s="1"/>
  <c r="H780" i="7" s="1"/>
  <c r="H801" i="7" s="1"/>
  <c r="H822" i="7" s="1"/>
  <c r="H843" i="7" s="1"/>
  <c r="H864" i="7" s="1"/>
  <c r="H885" i="7" s="1"/>
  <c r="H906" i="7" s="1"/>
  <c r="H927" i="7" s="1"/>
  <c r="H948" i="7" s="1"/>
  <c r="H969" i="7" s="1"/>
  <c r="H990" i="7" s="1"/>
  <c r="H1011" i="7" s="1"/>
  <c r="H1032" i="7" s="1"/>
  <c r="H23" i="5"/>
  <c r="H8" i="5"/>
  <c r="E10" i="5" s="1"/>
  <c r="E11" i="9" s="1"/>
  <c r="H3" i="5"/>
  <c r="H24" i="5" s="1"/>
  <c r="H45" i="5" s="1"/>
  <c r="H66" i="5" s="1"/>
  <c r="H87" i="5" s="1"/>
  <c r="H108" i="5" s="1"/>
  <c r="H129" i="5" s="1"/>
  <c r="H150" i="5" s="1"/>
  <c r="H171" i="5" s="1"/>
  <c r="H192" i="5" s="1"/>
  <c r="H213" i="5" s="1"/>
  <c r="H234" i="5" s="1"/>
  <c r="H255" i="5" s="1"/>
  <c r="H276" i="5" s="1"/>
  <c r="H297" i="5" s="1"/>
  <c r="H318" i="5" s="1"/>
  <c r="H339" i="5" s="1"/>
  <c r="H360" i="5" s="1"/>
  <c r="H381" i="5" s="1"/>
  <c r="H402" i="5" s="1"/>
  <c r="H423" i="5" s="1"/>
  <c r="H444" i="5" s="1"/>
  <c r="H465" i="5" s="1"/>
  <c r="H486" i="5" s="1"/>
  <c r="H507" i="5" s="1"/>
  <c r="H528" i="5" s="1"/>
  <c r="H549" i="5" s="1"/>
  <c r="H570" i="5" s="1"/>
  <c r="H591" i="5" s="1"/>
  <c r="H612" i="5" s="1"/>
  <c r="H633" i="5" s="1"/>
  <c r="H654" i="5" s="1"/>
  <c r="H675" i="5" s="1"/>
  <c r="H696" i="5" s="1"/>
  <c r="H717" i="5" s="1"/>
  <c r="H738" i="5" s="1"/>
  <c r="H759" i="5" s="1"/>
  <c r="H780" i="5" s="1"/>
  <c r="H801" i="5" s="1"/>
  <c r="H822" i="5" s="1"/>
  <c r="H843" i="5" s="1"/>
  <c r="H864" i="5" s="1"/>
  <c r="H885" i="5" s="1"/>
  <c r="H906" i="5" s="1"/>
  <c r="H927" i="5" s="1"/>
  <c r="H948" i="5" s="1"/>
  <c r="H969" i="5" s="1"/>
  <c r="H990" i="5" s="1"/>
  <c r="H1011" i="5" s="1"/>
  <c r="H1032" i="5" s="1"/>
  <c r="H4" i="5"/>
  <c r="H25" i="5" s="1"/>
  <c r="H46" i="5" s="1"/>
  <c r="H67" i="5" s="1"/>
  <c r="H88" i="5" s="1"/>
  <c r="H109" i="5" s="1"/>
  <c r="H130" i="5" s="1"/>
  <c r="H151" i="5" s="1"/>
  <c r="H172" i="5" s="1"/>
  <c r="H193" i="5" s="1"/>
  <c r="H214" i="5" s="1"/>
  <c r="H235" i="5" s="1"/>
  <c r="H256" i="5" s="1"/>
  <c r="H277" i="5" s="1"/>
  <c r="H298" i="5" s="1"/>
  <c r="H319" i="5" s="1"/>
  <c r="H340" i="5" s="1"/>
  <c r="H361" i="5" s="1"/>
  <c r="H382" i="5" s="1"/>
  <c r="H403" i="5" s="1"/>
  <c r="H424" i="5" s="1"/>
  <c r="H445" i="5" s="1"/>
  <c r="H466" i="5" s="1"/>
  <c r="H487" i="5" s="1"/>
  <c r="H508" i="5" s="1"/>
  <c r="H529" i="5" s="1"/>
  <c r="H550" i="5" s="1"/>
  <c r="H571" i="5" s="1"/>
  <c r="H592" i="5" s="1"/>
  <c r="H613" i="5" s="1"/>
  <c r="H634" i="5" s="1"/>
  <c r="H655" i="5" s="1"/>
  <c r="H676" i="5" s="1"/>
  <c r="H697" i="5" s="1"/>
  <c r="H718" i="5" s="1"/>
  <c r="H739" i="5" s="1"/>
  <c r="H760" i="5" s="1"/>
  <c r="H781" i="5" s="1"/>
  <c r="H802" i="5" s="1"/>
  <c r="H823" i="5" s="1"/>
  <c r="H844" i="5" s="1"/>
  <c r="H865" i="5" s="1"/>
  <c r="H886" i="5" s="1"/>
  <c r="H907" i="5" s="1"/>
  <c r="H928" i="5" s="1"/>
  <c r="H949" i="5" s="1"/>
  <c r="H970" i="5" s="1"/>
  <c r="H991" i="5" s="1"/>
  <c r="H1012" i="5" s="1"/>
  <c r="H1033" i="5" s="1"/>
  <c r="H5" i="5"/>
  <c r="H26" i="5" s="1"/>
  <c r="H47" i="5" s="1"/>
  <c r="H68" i="5" s="1"/>
  <c r="H89" i="5" s="1"/>
  <c r="H110" i="5" s="1"/>
  <c r="H131" i="5" s="1"/>
  <c r="H152" i="5" s="1"/>
  <c r="H173" i="5" s="1"/>
  <c r="H194" i="5" s="1"/>
  <c r="H215" i="5" s="1"/>
  <c r="H236" i="5" s="1"/>
  <c r="H257" i="5" s="1"/>
  <c r="H278" i="5" s="1"/>
  <c r="H299" i="5" s="1"/>
  <c r="H320" i="5" s="1"/>
  <c r="H341" i="5" s="1"/>
  <c r="H362" i="5" s="1"/>
  <c r="H383" i="5" s="1"/>
  <c r="H404" i="5" s="1"/>
  <c r="H425" i="5" s="1"/>
  <c r="H446" i="5" s="1"/>
  <c r="H467" i="5" s="1"/>
  <c r="H488" i="5" s="1"/>
  <c r="H509" i="5" s="1"/>
  <c r="H530" i="5" s="1"/>
  <c r="H551" i="5" s="1"/>
  <c r="H572" i="5" s="1"/>
  <c r="H593" i="5" s="1"/>
  <c r="H614" i="5" s="1"/>
  <c r="H635" i="5" s="1"/>
  <c r="H656" i="5" s="1"/>
  <c r="H677" i="5" s="1"/>
  <c r="H698" i="5" s="1"/>
  <c r="H719" i="5" s="1"/>
  <c r="H740" i="5" s="1"/>
  <c r="H761" i="5" s="1"/>
  <c r="H782" i="5" s="1"/>
  <c r="H803" i="5" s="1"/>
  <c r="H824" i="5" s="1"/>
  <c r="H845" i="5" s="1"/>
  <c r="H866" i="5" s="1"/>
  <c r="H887" i="5" s="1"/>
  <c r="H908" i="5" s="1"/>
  <c r="H929" i="5" s="1"/>
  <c r="H950" i="5" s="1"/>
  <c r="H971" i="5" s="1"/>
  <c r="H992" i="5" s="1"/>
  <c r="H1013" i="5" s="1"/>
  <c r="H1034" i="5" s="1"/>
  <c r="H6" i="5"/>
  <c r="H9" i="5"/>
  <c r="E5" i="5" s="1"/>
  <c r="E6" i="9" s="1"/>
  <c r="H10" i="5"/>
  <c r="E8" i="5" s="1"/>
  <c r="E9" i="9" s="1"/>
  <c r="H11" i="5"/>
  <c r="R52" i="5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E18" i="7"/>
  <c r="E37" i="5" l="1"/>
  <c r="E34" i="5"/>
  <c r="J7" i="8"/>
  <c r="E8" i="7"/>
  <c r="AG45" i="5"/>
  <c r="AH45" i="5" s="1"/>
  <c r="E4" i="5"/>
  <c r="AH42" i="7"/>
  <c r="AG42" i="7"/>
  <c r="AG41" i="7"/>
  <c r="AH41" i="7"/>
  <c r="AH44" i="7"/>
  <c r="AG44" i="7"/>
  <c r="AG34" i="7"/>
  <c r="AH34" i="7"/>
  <c r="AH33" i="7"/>
  <c r="AG33" i="7"/>
  <c r="AH48" i="7"/>
  <c r="AG48" i="7"/>
  <c r="AG38" i="7"/>
  <c r="AH38" i="7"/>
  <c r="AH40" i="7"/>
  <c r="AG40" i="7"/>
  <c r="AG32" i="5"/>
  <c r="AH32" i="5" s="1"/>
  <c r="AH51" i="7"/>
  <c r="AG51" i="7"/>
  <c r="AH47" i="7"/>
  <c r="AG47" i="7"/>
  <c r="AH43" i="7"/>
  <c r="AG43" i="7"/>
  <c r="AH32" i="7"/>
  <c r="AG32" i="7"/>
  <c r="AG46" i="7"/>
  <c r="AH46" i="7"/>
  <c r="AH39" i="7"/>
  <c r="AG39" i="7"/>
  <c r="AH45" i="7"/>
  <c r="AG45" i="7"/>
  <c r="AH35" i="7"/>
  <c r="AG35" i="7"/>
  <c r="AH37" i="7"/>
  <c r="AG37" i="7"/>
  <c r="AH49" i="7"/>
  <c r="AG49" i="7"/>
  <c r="AH36" i="7"/>
  <c r="AG36" i="7"/>
  <c r="AH50" i="7"/>
  <c r="AG50" i="7"/>
  <c r="AH22" i="7"/>
  <c r="AG22" i="7"/>
  <c r="AH23" i="7"/>
  <c r="AG23" i="7"/>
  <c r="AG4" i="7"/>
  <c r="AH4" i="7"/>
  <c r="AH8" i="7"/>
  <c r="AG8" i="7"/>
  <c r="AG10" i="7"/>
  <c r="AH10" i="7"/>
  <c r="AH6" i="7"/>
  <c r="AG6" i="7"/>
  <c r="AH7" i="7"/>
  <c r="AG7" i="7"/>
  <c r="AH9" i="7"/>
  <c r="AG9" i="7"/>
  <c r="AH5" i="7"/>
  <c r="AG5" i="7"/>
  <c r="AH13" i="7"/>
  <c r="AG13" i="7"/>
  <c r="AH12" i="7"/>
  <c r="AG12" i="7"/>
  <c r="AD24" i="7"/>
  <c r="AG40" i="5"/>
  <c r="AH40" i="5" s="1"/>
  <c r="AG47" i="5"/>
  <c r="AH47" i="5" s="1"/>
  <c r="AG49" i="5"/>
  <c r="AH49" i="5" s="1"/>
  <c r="AG50" i="5"/>
  <c r="AH50" i="5" s="1"/>
  <c r="AG48" i="5"/>
  <c r="AH48" i="5" s="1"/>
  <c r="AG4" i="5"/>
  <c r="AH4" i="5" s="1"/>
  <c r="AD24" i="5"/>
  <c r="H427" i="5"/>
  <c r="AG37" i="5"/>
  <c r="AH37" i="5" s="1"/>
  <c r="AG42" i="5"/>
  <c r="AH42" i="5" s="1"/>
  <c r="AG43" i="5"/>
  <c r="AH43" i="5" s="1"/>
  <c r="AG41" i="5"/>
  <c r="AH41" i="5" s="1"/>
  <c r="AG33" i="5"/>
  <c r="AH33" i="5" s="1"/>
  <c r="AG35" i="5"/>
  <c r="AH35" i="5" s="1"/>
  <c r="AG38" i="5"/>
  <c r="AH38" i="5" s="1"/>
  <c r="AG39" i="5"/>
  <c r="AH39" i="5" s="1"/>
  <c r="AG44" i="5"/>
  <c r="AH44" i="5" s="1"/>
  <c r="AG36" i="5"/>
  <c r="AH36" i="5" s="1"/>
  <c r="AG52" i="5"/>
  <c r="AH52" i="5" s="1"/>
  <c r="H217" i="5"/>
  <c r="AD14" i="5"/>
  <c r="AG12" i="5"/>
  <c r="AH12" i="5" s="1"/>
  <c r="F13" i="4" s="1"/>
  <c r="AG46" i="5"/>
  <c r="AH46" i="5" s="1"/>
  <c r="AD14" i="7"/>
  <c r="AD15" i="7" s="1"/>
  <c r="AD6" i="5"/>
  <c r="H49" i="5"/>
  <c r="AD25" i="7"/>
  <c r="H448" i="7"/>
  <c r="E5" i="7"/>
  <c r="E6" i="7" s="1"/>
  <c r="E39" i="5"/>
  <c r="H31" i="5"/>
  <c r="E29" i="5" s="1"/>
  <c r="E30" i="9" s="1"/>
  <c r="H30" i="5"/>
  <c r="E26" i="5" s="1"/>
  <c r="E27" i="9" s="1"/>
  <c r="H29" i="5"/>
  <c r="H50" i="5" s="1"/>
  <c r="H71" i="5" s="1"/>
  <c r="I1041" i="9"/>
  <c r="Q51" i="9" s="1"/>
  <c r="I890" i="9"/>
  <c r="I891" i="9" s="1"/>
  <c r="I894" i="9" s="1"/>
  <c r="Q44" i="9" s="1"/>
  <c r="I870" i="9"/>
  <c r="I873" i="9" s="1"/>
  <c r="Q43" i="9" s="1"/>
  <c r="I365" i="9"/>
  <c r="I366" i="9" s="1"/>
  <c r="I369" i="9" s="1"/>
  <c r="Q19" i="9" s="1"/>
  <c r="I386" i="9"/>
  <c r="I387" i="9" s="1"/>
  <c r="I390" i="9" s="1"/>
  <c r="Q20" i="9" s="1"/>
  <c r="I680" i="9"/>
  <c r="I681" i="9" s="1"/>
  <c r="I684" i="9" s="1"/>
  <c r="Q34" i="9" s="1"/>
  <c r="I659" i="9"/>
  <c r="I660" i="9" s="1"/>
  <c r="I663" i="9" s="1"/>
  <c r="Q33" i="9" s="1"/>
  <c r="I596" i="9"/>
  <c r="I597" i="9" s="1"/>
  <c r="I600" i="9" s="1"/>
  <c r="Q30" i="9" s="1"/>
  <c r="I575" i="9"/>
  <c r="I576" i="9" s="1"/>
  <c r="I579" i="9" s="1"/>
  <c r="Q29" i="9" s="1"/>
  <c r="I470" i="9"/>
  <c r="I471" i="9" s="1"/>
  <c r="I474" i="9" s="1"/>
  <c r="Q24" i="9" s="1"/>
  <c r="I449" i="9"/>
  <c r="I450" i="9" s="1"/>
  <c r="I453" i="9" s="1"/>
  <c r="Q23" i="9" s="1"/>
  <c r="I554" i="9"/>
  <c r="I555" i="9" s="1"/>
  <c r="I558" i="9" s="1"/>
  <c r="Q28" i="9" s="1"/>
  <c r="I533" i="9"/>
  <c r="I534" i="9" s="1"/>
  <c r="I537" i="9" s="1"/>
  <c r="Q27" i="9" s="1"/>
  <c r="I51" i="9"/>
  <c r="I54" i="9" s="1"/>
  <c r="Q4" i="9" s="1"/>
  <c r="I29" i="9"/>
  <c r="I30" i="9" s="1"/>
  <c r="I33" i="9" s="1"/>
  <c r="Q3" i="9" s="1"/>
  <c r="I848" i="9"/>
  <c r="I849" i="9" s="1"/>
  <c r="I852" i="9" s="1"/>
  <c r="Q42" i="9" s="1"/>
  <c r="I827" i="9"/>
  <c r="I828" i="9" s="1"/>
  <c r="I831" i="9" s="1"/>
  <c r="Q41" i="9" s="1"/>
  <c r="I764" i="9"/>
  <c r="I765" i="9" s="1"/>
  <c r="I768" i="9" s="1"/>
  <c r="Q38" i="9" s="1"/>
  <c r="I743" i="9"/>
  <c r="I744" i="9" s="1"/>
  <c r="I747" i="9" s="1"/>
  <c r="Q37" i="9" s="1"/>
  <c r="I512" i="9"/>
  <c r="I513" i="9" s="1"/>
  <c r="I516" i="9" s="1"/>
  <c r="Q26" i="9" s="1"/>
  <c r="I491" i="9"/>
  <c r="I492" i="9" s="1"/>
  <c r="I495" i="9" s="1"/>
  <c r="Q25" i="9" s="1"/>
  <c r="I974" i="9"/>
  <c r="I975" i="9" s="1"/>
  <c r="I978" i="9" s="1"/>
  <c r="Q48" i="9" s="1"/>
  <c r="I953" i="9"/>
  <c r="I954" i="9" s="1"/>
  <c r="I957" i="9" s="1"/>
  <c r="Q47" i="9" s="1"/>
  <c r="I260" i="9"/>
  <c r="I261" i="9" s="1"/>
  <c r="I264" i="9" s="1"/>
  <c r="Q14" i="9" s="1"/>
  <c r="I239" i="9"/>
  <c r="I240" i="9" s="1"/>
  <c r="I243" i="9" s="1"/>
  <c r="Q13" i="9" s="1"/>
  <c r="I407" i="9"/>
  <c r="I408" i="9" s="1"/>
  <c r="I411" i="9" s="1"/>
  <c r="Q21" i="9" s="1"/>
  <c r="I428" i="9"/>
  <c r="I429" i="9" s="1"/>
  <c r="I432" i="9" s="1"/>
  <c r="Q22" i="9" s="1"/>
  <c r="I806" i="9"/>
  <c r="I807" i="9" s="1"/>
  <c r="I810" i="9" s="1"/>
  <c r="Q40" i="9" s="1"/>
  <c r="I785" i="9"/>
  <c r="I786" i="9" s="1"/>
  <c r="I789" i="9" s="1"/>
  <c r="Q39" i="9" s="1"/>
  <c r="I92" i="9"/>
  <c r="I93" i="9" s="1"/>
  <c r="I96" i="9" s="1"/>
  <c r="Q6" i="9" s="1"/>
  <c r="I71" i="9"/>
  <c r="I72" i="9" s="1"/>
  <c r="I75" i="9" s="1"/>
  <c r="Q5" i="9" s="1"/>
  <c r="I218" i="9"/>
  <c r="I219" i="9" s="1"/>
  <c r="I222" i="9" s="1"/>
  <c r="Q12" i="9" s="1"/>
  <c r="I197" i="9"/>
  <c r="I198" i="9" s="1"/>
  <c r="I201" i="9" s="1"/>
  <c r="Q11" i="9" s="1"/>
  <c r="I155" i="9"/>
  <c r="I156" i="9" s="1"/>
  <c r="I159" i="9" s="1"/>
  <c r="Q9" i="9" s="1"/>
  <c r="I176" i="9"/>
  <c r="I177" i="9" s="1"/>
  <c r="I180" i="9" s="1"/>
  <c r="Q10" i="9" s="1"/>
  <c r="I617" i="9"/>
  <c r="I618" i="9" s="1"/>
  <c r="I621" i="9" s="1"/>
  <c r="Q31" i="9" s="1"/>
  <c r="I638" i="9"/>
  <c r="I639" i="9" s="1"/>
  <c r="I642" i="9" s="1"/>
  <c r="Q32" i="9" s="1"/>
  <c r="I344" i="9"/>
  <c r="I345" i="9" s="1"/>
  <c r="I348" i="9" s="1"/>
  <c r="Q18" i="9" s="1"/>
  <c r="I323" i="9"/>
  <c r="I324" i="9" s="1"/>
  <c r="I327" i="9" s="1"/>
  <c r="Q17" i="9" s="1"/>
  <c r="I1016" i="9"/>
  <c r="I1017" i="9" s="1"/>
  <c r="I1020" i="9" s="1"/>
  <c r="Q50" i="9" s="1"/>
  <c r="I995" i="9"/>
  <c r="I996" i="9" s="1"/>
  <c r="I999" i="9" s="1"/>
  <c r="Q49" i="9" s="1"/>
  <c r="I911" i="9"/>
  <c r="I912" i="9" s="1"/>
  <c r="I915" i="9" s="1"/>
  <c r="Q45" i="9" s="1"/>
  <c r="I932" i="9"/>
  <c r="I933" i="9" s="1"/>
  <c r="I936" i="9" s="1"/>
  <c r="Q46" i="9" s="1"/>
  <c r="I722" i="9"/>
  <c r="I723" i="9" s="1"/>
  <c r="I726" i="9" s="1"/>
  <c r="Q36" i="9" s="1"/>
  <c r="I701" i="9"/>
  <c r="I702" i="9" s="1"/>
  <c r="I705" i="9" s="1"/>
  <c r="Q35" i="9" s="1"/>
  <c r="I113" i="9"/>
  <c r="I114" i="9" s="1"/>
  <c r="I117" i="9" s="1"/>
  <c r="Q7" i="9" s="1"/>
  <c r="I134" i="9"/>
  <c r="I135" i="9" s="1"/>
  <c r="I138" i="9" s="1"/>
  <c r="Q8" i="9" s="1"/>
  <c r="I302" i="9"/>
  <c r="I303" i="9" s="1"/>
  <c r="I306" i="9" s="1"/>
  <c r="Q16" i="9" s="1"/>
  <c r="I281" i="9"/>
  <c r="I282" i="9" s="1"/>
  <c r="I285" i="9" s="1"/>
  <c r="Q15" i="9" s="1"/>
  <c r="I12" i="9"/>
  <c r="Q2" i="9" s="1"/>
  <c r="F6" i="8"/>
  <c r="H31" i="7"/>
  <c r="E29" i="7" s="1"/>
  <c r="E14" i="9"/>
  <c r="H51" i="7"/>
  <c r="E47" i="7" s="1"/>
  <c r="H44" i="7"/>
  <c r="H27" i="7"/>
  <c r="H32" i="7"/>
  <c r="H29" i="7"/>
  <c r="H44" i="5"/>
  <c r="H52" i="5"/>
  <c r="H32" i="5"/>
  <c r="H53" i="5" s="1"/>
  <c r="H27" i="5"/>
  <c r="H48" i="5" s="1"/>
  <c r="E46" i="5" s="1"/>
  <c r="E47" i="9" s="1"/>
  <c r="E17" i="7"/>
  <c r="M3" i="7"/>
  <c r="N3" i="7"/>
  <c r="F16" i="4" l="1"/>
  <c r="F13" i="8"/>
  <c r="E31" i="5"/>
  <c r="E32" i="9" s="1"/>
  <c r="H53" i="7"/>
  <c r="E34" i="7"/>
  <c r="H238" i="7"/>
  <c r="AH14" i="7" s="1"/>
  <c r="E6" i="5"/>
  <c r="E7" i="9"/>
  <c r="AG24" i="7"/>
  <c r="AH24" i="7"/>
  <c r="H238" i="5"/>
  <c r="AD15" i="5"/>
  <c r="AG23" i="5"/>
  <c r="AH23" i="5" s="1"/>
  <c r="AG13" i="5"/>
  <c r="AH13" i="5" s="1"/>
  <c r="AD25" i="5"/>
  <c r="H448" i="5"/>
  <c r="H51" i="5"/>
  <c r="AG5" i="5"/>
  <c r="AH5" i="5" s="1"/>
  <c r="AD7" i="5"/>
  <c r="H70" i="5"/>
  <c r="AD16" i="7"/>
  <c r="H259" i="7"/>
  <c r="AD26" i="7"/>
  <c r="H469" i="7"/>
  <c r="E52" i="5"/>
  <c r="E53" i="9" s="1"/>
  <c r="E58" i="5"/>
  <c r="E59" i="5" s="1"/>
  <c r="H52" i="7"/>
  <c r="H73" i="7" s="1"/>
  <c r="E38" i="5"/>
  <c r="E37" i="7"/>
  <c r="H65" i="7"/>
  <c r="E60" i="7"/>
  <c r="E25" i="7"/>
  <c r="E27" i="7" s="1"/>
  <c r="H48" i="7"/>
  <c r="E31" i="7"/>
  <c r="H50" i="7"/>
  <c r="H72" i="7"/>
  <c r="E68" i="7" s="1"/>
  <c r="H65" i="5"/>
  <c r="E60" i="5"/>
  <c r="H74" i="5"/>
  <c r="H69" i="5"/>
  <c r="E67" i="5" s="1"/>
  <c r="E68" i="9" s="1"/>
  <c r="E50" i="5"/>
  <c r="E51" i="9" s="1"/>
  <c r="H73" i="5"/>
  <c r="H92" i="5"/>
  <c r="E25" i="5"/>
  <c r="E35" i="9"/>
  <c r="L3" i="7"/>
  <c r="O3" i="7"/>
  <c r="H74" i="7" l="1"/>
  <c r="E55" i="7"/>
  <c r="AG14" i="7"/>
  <c r="AG25" i="7"/>
  <c r="AH25" i="7"/>
  <c r="AH15" i="7"/>
  <c r="AG15" i="7"/>
  <c r="AD8" i="5"/>
  <c r="H91" i="5"/>
  <c r="E47" i="5"/>
  <c r="H72" i="5"/>
  <c r="AG24" i="5"/>
  <c r="AH24" i="5" s="1"/>
  <c r="AD26" i="5"/>
  <c r="H469" i="5"/>
  <c r="AD16" i="5"/>
  <c r="H259" i="5"/>
  <c r="AD27" i="7"/>
  <c r="H490" i="7"/>
  <c r="AG6" i="5"/>
  <c r="AH6" i="5" s="1"/>
  <c r="AG14" i="5"/>
  <c r="AH14" i="5" s="1"/>
  <c r="AD17" i="7"/>
  <c r="H280" i="7"/>
  <c r="E27" i="5"/>
  <c r="E26" i="9"/>
  <c r="E28" i="9" s="1"/>
  <c r="E50" i="7"/>
  <c r="M4" i="7"/>
  <c r="O4" i="7" s="1"/>
  <c r="N5" i="7" s="1"/>
  <c r="E76" i="5"/>
  <c r="E77" i="9" s="1"/>
  <c r="E55" i="5"/>
  <c r="E56" i="9" s="1"/>
  <c r="E71" i="7"/>
  <c r="H94" i="7"/>
  <c r="H69" i="7"/>
  <c r="E46" i="7"/>
  <c r="E48" i="7" s="1"/>
  <c r="E81" i="7"/>
  <c r="H86" i="7"/>
  <c r="E58" i="7"/>
  <c r="E59" i="7" s="1"/>
  <c r="H93" i="7"/>
  <c r="E89" i="7" s="1"/>
  <c r="E52" i="7"/>
  <c r="H71" i="7"/>
  <c r="H95" i="5"/>
  <c r="H94" i="5"/>
  <c r="E71" i="5"/>
  <c r="E72" i="9" s="1"/>
  <c r="H90" i="5"/>
  <c r="E94" i="5"/>
  <c r="E95" i="9" s="1"/>
  <c r="H113" i="5"/>
  <c r="H86" i="5"/>
  <c r="E81" i="5"/>
  <c r="E73" i="5"/>
  <c r="E74" i="9" s="1"/>
  <c r="N4" i="7"/>
  <c r="E97" i="5" l="1"/>
  <c r="E98" i="9" s="1"/>
  <c r="H95" i="7"/>
  <c r="E76" i="7"/>
  <c r="AH26" i="7"/>
  <c r="AG26" i="7"/>
  <c r="AG16" i="7"/>
  <c r="AH16" i="7"/>
  <c r="AD28" i="7"/>
  <c r="H511" i="7"/>
  <c r="AD17" i="5"/>
  <c r="H280" i="5"/>
  <c r="AG25" i="5"/>
  <c r="AH25" i="5" s="1"/>
  <c r="AD27" i="5"/>
  <c r="H490" i="5"/>
  <c r="E68" i="5"/>
  <c r="H93" i="5"/>
  <c r="AG15" i="5"/>
  <c r="AH15" i="5" s="1"/>
  <c r="E48" i="9"/>
  <c r="E49" i="9" s="1"/>
  <c r="E48" i="5"/>
  <c r="L4" i="7"/>
  <c r="AG7" i="5"/>
  <c r="AH7" i="5" s="1"/>
  <c r="AD9" i="5"/>
  <c r="H112" i="5"/>
  <c r="AD18" i="7"/>
  <c r="H301" i="7"/>
  <c r="E79" i="5"/>
  <c r="E80" i="5" s="1"/>
  <c r="H107" i="7"/>
  <c r="E102" i="7"/>
  <c r="H92" i="7"/>
  <c r="E73" i="7"/>
  <c r="E67" i="7"/>
  <c r="E69" i="7" s="1"/>
  <c r="H90" i="7"/>
  <c r="H114" i="7"/>
  <c r="E110" i="7" s="1"/>
  <c r="H115" i="7"/>
  <c r="E92" i="7"/>
  <c r="E79" i="7"/>
  <c r="E80" i="7" s="1"/>
  <c r="H134" i="5"/>
  <c r="E115" i="5"/>
  <c r="E116" i="9" s="1"/>
  <c r="E88" i="5"/>
  <c r="H111" i="5"/>
  <c r="E92" i="5"/>
  <c r="E93" i="9" s="1"/>
  <c r="H115" i="5"/>
  <c r="E102" i="5"/>
  <c r="H107" i="5"/>
  <c r="H116" i="5"/>
  <c r="M5" i="7"/>
  <c r="O5" i="7" s="1"/>
  <c r="N6" i="7" s="1"/>
  <c r="H116" i="7" l="1"/>
  <c r="E97" i="7"/>
  <c r="AH27" i="7"/>
  <c r="AG27" i="7"/>
  <c r="AH17" i="7"/>
  <c r="AG17" i="7"/>
  <c r="E89" i="5"/>
  <c r="E90" i="9" s="1"/>
  <c r="H114" i="5"/>
  <c r="E69" i="9"/>
  <c r="E70" i="9" s="1"/>
  <c r="E69" i="5"/>
  <c r="AG26" i="5"/>
  <c r="AH26" i="5" s="1"/>
  <c r="AG8" i="5"/>
  <c r="AH8" i="5" s="1"/>
  <c r="AD28" i="5"/>
  <c r="H511" i="5"/>
  <c r="H133" i="5"/>
  <c r="AD10" i="5"/>
  <c r="AD18" i="5"/>
  <c r="H301" i="5"/>
  <c r="AG16" i="5"/>
  <c r="AH16" i="5" s="1"/>
  <c r="AD29" i="7"/>
  <c r="H532" i="7"/>
  <c r="AD19" i="7"/>
  <c r="H322" i="7"/>
  <c r="E100" i="5"/>
  <c r="E101" i="5" s="1"/>
  <c r="E89" i="9"/>
  <c r="H113" i="7"/>
  <c r="E94" i="7"/>
  <c r="H135" i="7"/>
  <c r="E131" i="7" s="1"/>
  <c r="H111" i="7"/>
  <c r="E88" i="7"/>
  <c r="E90" i="7" s="1"/>
  <c r="E100" i="7"/>
  <c r="E101" i="7" s="1"/>
  <c r="H136" i="7"/>
  <c r="E113" i="7"/>
  <c r="H128" i="7"/>
  <c r="E123" i="7"/>
  <c r="E121" i="5"/>
  <c r="E122" i="5" s="1"/>
  <c r="H137" i="5"/>
  <c r="E118" i="5"/>
  <c r="E119" i="9" s="1"/>
  <c r="H132" i="5"/>
  <c r="E109" i="5"/>
  <c r="E113" i="5"/>
  <c r="E114" i="9" s="1"/>
  <c r="H136" i="5"/>
  <c r="E123" i="5"/>
  <c r="H128" i="5"/>
  <c r="H155" i="5"/>
  <c r="E136" i="5"/>
  <c r="E137" i="9" s="1"/>
  <c r="L5" i="7"/>
  <c r="M6" i="7"/>
  <c r="L6" i="7" s="1"/>
  <c r="H137" i="7" l="1"/>
  <c r="E118" i="7"/>
  <c r="E90" i="5"/>
  <c r="AH28" i="7"/>
  <c r="AG28" i="7"/>
  <c r="AH18" i="7"/>
  <c r="AG18" i="7"/>
  <c r="E91" i="9"/>
  <c r="AD29" i="5"/>
  <c r="H532" i="5"/>
  <c r="AG9" i="5"/>
  <c r="AH9" i="5" s="1"/>
  <c r="AG27" i="5"/>
  <c r="AH27" i="5" s="1"/>
  <c r="AD30" i="7"/>
  <c r="H553" i="7"/>
  <c r="AG17" i="5"/>
  <c r="AH17" i="5" s="1"/>
  <c r="E110" i="5"/>
  <c r="E111" i="9" s="1"/>
  <c r="H135" i="5"/>
  <c r="AD11" i="5"/>
  <c r="H175" i="5" s="1"/>
  <c r="H154" i="5"/>
  <c r="AD19" i="5"/>
  <c r="H322" i="5"/>
  <c r="AD20" i="7"/>
  <c r="H343" i="7"/>
  <c r="E110" i="9"/>
  <c r="E109" i="7"/>
  <c r="E111" i="7" s="1"/>
  <c r="H132" i="7"/>
  <c r="H156" i="7"/>
  <c r="E152" i="7" s="1"/>
  <c r="E121" i="7"/>
  <c r="E122" i="7" s="1"/>
  <c r="E134" i="7"/>
  <c r="H157" i="7"/>
  <c r="E144" i="7"/>
  <c r="H149" i="7"/>
  <c r="H134" i="7"/>
  <c r="E115" i="7"/>
  <c r="H158" i="5"/>
  <c r="E139" i="5"/>
  <c r="E140" i="9" s="1"/>
  <c r="H176" i="5"/>
  <c r="H197" i="5" s="1"/>
  <c r="E144" i="5"/>
  <c r="H149" i="5"/>
  <c r="H153" i="5"/>
  <c r="E130" i="5"/>
  <c r="E142" i="5"/>
  <c r="E143" i="5" s="1"/>
  <c r="E134" i="5"/>
  <c r="E135" i="9" s="1"/>
  <c r="H157" i="5"/>
  <c r="O6" i="7"/>
  <c r="M7" i="7" s="1"/>
  <c r="O7" i="7" s="1"/>
  <c r="H158" i="7" l="1"/>
  <c r="E139" i="7"/>
  <c r="AH29" i="7"/>
  <c r="AG29" i="7"/>
  <c r="AH19" i="7"/>
  <c r="AG19" i="7"/>
  <c r="E112" i="9"/>
  <c r="AD31" i="7"/>
  <c r="H595" i="7" s="1"/>
  <c r="H574" i="7"/>
  <c r="E111" i="5"/>
  <c r="E131" i="5"/>
  <c r="E132" i="9" s="1"/>
  <c r="H156" i="5"/>
  <c r="AG18" i="5"/>
  <c r="AH18" i="5" s="1"/>
  <c r="AD20" i="5"/>
  <c r="H343" i="5"/>
  <c r="AG10" i="5"/>
  <c r="AH10" i="5" s="1"/>
  <c r="AG28" i="5"/>
  <c r="AH28" i="5" s="1"/>
  <c r="AG11" i="5"/>
  <c r="AH11" i="5" s="1"/>
  <c r="AD30" i="5"/>
  <c r="H553" i="5"/>
  <c r="AD21" i="7"/>
  <c r="H385" i="7" s="1"/>
  <c r="H364" i="7"/>
  <c r="E131" i="9"/>
  <c r="E155" i="7"/>
  <c r="H178" i="7"/>
  <c r="E142" i="7"/>
  <c r="E143" i="7" s="1"/>
  <c r="H177" i="7"/>
  <c r="E173" i="7" s="1"/>
  <c r="E165" i="7"/>
  <c r="H170" i="7"/>
  <c r="E136" i="7"/>
  <c r="H155" i="7"/>
  <c r="E130" i="7"/>
  <c r="E132" i="7" s="1"/>
  <c r="H153" i="7"/>
  <c r="E165" i="5"/>
  <c r="H170" i="5"/>
  <c r="H178" i="5"/>
  <c r="E155" i="5"/>
  <c r="E156" i="9" s="1"/>
  <c r="E157" i="5"/>
  <c r="E158" i="9" s="1"/>
  <c r="E178" i="5"/>
  <c r="E179" i="9" s="1"/>
  <c r="E163" i="5"/>
  <c r="E164" i="5" s="1"/>
  <c r="E151" i="5"/>
  <c r="H174" i="5"/>
  <c r="E160" i="5"/>
  <c r="E161" i="9" s="1"/>
  <c r="H179" i="5"/>
  <c r="N7" i="7"/>
  <c r="L7" i="7" s="1"/>
  <c r="N8" i="7"/>
  <c r="M8" i="7"/>
  <c r="H179" i="7" l="1"/>
  <c r="E160" i="7"/>
  <c r="AH30" i="7"/>
  <c r="AG30" i="7"/>
  <c r="AG31" i="7"/>
  <c r="AH31" i="7"/>
  <c r="E133" i="9"/>
  <c r="E132" i="5"/>
  <c r="AG20" i="7"/>
  <c r="AH20" i="7"/>
  <c r="AH21" i="7"/>
  <c r="AG21" i="7"/>
  <c r="AG19" i="5"/>
  <c r="AH19" i="5" s="1"/>
  <c r="AD21" i="5"/>
  <c r="H385" i="5" s="1"/>
  <c r="H364" i="5"/>
  <c r="AG29" i="5"/>
  <c r="AH29" i="5" s="1"/>
  <c r="E152" i="5"/>
  <c r="E153" i="9" s="1"/>
  <c r="H177" i="5"/>
  <c r="AD31" i="5"/>
  <c r="H595" i="5" s="1"/>
  <c r="H574" i="5"/>
  <c r="E152" i="9"/>
  <c r="H198" i="7"/>
  <c r="E194" i="7" s="1"/>
  <c r="H176" i="7"/>
  <c r="E157" i="7"/>
  <c r="E163" i="7"/>
  <c r="E164" i="7" s="1"/>
  <c r="H174" i="7"/>
  <c r="E151" i="7"/>
  <c r="E153" i="7" s="1"/>
  <c r="H199" i="7"/>
  <c r="E176" i="7"/>
  <c r="E186" i="7"/>
  <c r="H191" i="7"/>
  <c r="E176" i="5"/>
  <c r="E177" i="9" s="1"/>
  <c r="H199" i="5"/>
  <c r="H218" i="5"/>
  <c r="E181" i="5"/>
  <c r="E182" i="9" s="1"/>
  <c r="H200" i="5"/>
  <c r="E172" i="5"/>
  <c r="H195" i="5"/>
  <c r="H191" i="5"/>
  <c r="E186" i="5"/>
  <c r="E184" i="5"/>
  <c r="E185" i="5" s="1"/>
  <c r="L8" i="7"/>
  <c r="O8" i="7"/>
  <c r="N9" i="7" s="1"/>
  <c r="H200" i="7" l="1"/>
  <c r="E181" i="7"/>
  <c r="E153" i="5"/>
  <c r="AG30" i="5"/>
  <c r="AH30" i="5" s="1"/>
  <c r="E154" i="9"/>
  <c r="AG20" i="5"/>
  <c r="AH20" i="5" s="1"/>
  <c r="E173" i="5"/>
  <c r="E174" i="9" s="1"/>
  <c r="H198" i="5"/>
  <c r="AG21" i="5"/>
  <c r="AH21" i="5" s="1"/>
  <c r="AG31" i="5"/>
  <c r="AH31" i="5" s="1"/>
  <c r="E197" i="7"/>
  <c r="E202" i="5"/>
  <c r="E203" i="9" s="1"/>
  <c r="E173" i="9"/>
  <c r="E184" i="7"/>
  <c r="E185" i="7" s="1"/>
  <c r="E207" i="7"/>
  <c r="H212" i="7"/>
  <c r="H195" i="7"/>
  <c r="E193" i="7" s="1"/>
  <c r="E195" i="7" s="1"/>
  <c r="E172" i="7"/>
  <c r="E174" i="7" s="1"/>
  <c r="H197" i="7"/>
  <c r="E199" i="7" s="1"/>
  <c r="E178" i="7"/>
  <c r="H219" i="7"/>
  <c r="E215" i="7" s="1"/>
  <c r="H220" i="7"/>
  <c r="H221" i="5"/>
  <c r="H212" i="5"/>
  <c r="E207" i="5"/>
  <c r="H216" i="5"/>
  <c r="E193" i="5"/>
  <c r="E199" i="5"/>
  <c r="E200" i="9" s="1"/>
  <c r="H239" i="5"/>
  <c r="E220" i="5"/>
  <c r="E221" i="9" s="1"/>
  <c r="E205" i="5"/>
  <c r="E206" i="5" s="1"/>
  <c r="H220" i="5"/>
  <c r="E197" i="5"/>
  <c r="E198" i="9" s="1"/>
  <c r="M9" i="7"/>
  <c r="O9" i="7" s="1"/>
  <c r="N10" i="7" s="1"/>
  <c r="H221" i="7" l="1"/>
  <c r="E202" i="7"/>
  <c r="E194" i="5"/>
  <c r="E195" i="9" s="1"/>
  <c r="H219" i="5"/>
  <c r="E175" i="9"/>
  <c r="E174" i="5"/>
  <c r="E194" i="9"/>
  <c r="E205" i="7"/>
  <c r="E206" i="7" s="1"/>
  <c r="E228" i="7"/>
  <c r="H233" i="7"/>
  <c r="H241" i="7"/>
  <c r="E218" i="7"/>
  <c r="H216" i="7"/>
  <c r="H240" i="7"/>
  <c r="E236" i="7" s="1"/>
  <c r="H218" i="7"/>
  <c r="E214" i="5"/>
  <c r="H237" i="5"/>
  <c r="E218" i="5"/>
  <c r="E219" i="9" s="1"/>
  <c r="H241" i="5"/>
  <c r="E228" i="5"/>
  <c r="H233" i="5"/>
  <c r="E226" i="5"/>
  <c r="E227" i="5" s="1"/>
  <c r="E241" i="5"/>
  <c r="E242" i="9" s="1"/>
  <c r="H260" i="5"/>
  <c r="E223" i="5"/>
  <c r="E224" i="9" s="1"/>
  <c r="H242" i="5"/>
  <c r="L9" i="7"/>
  <c r="M10" i="7"/>
  <c r="L10" i="7" s="1"/>
  <c r="H242" i="7" l="1"/>
  <c r="E223" i="7"/>
  <c r="E195" i="5"/>
  <c r="E196" i="9"/>
  <c r="E215" i="5"/>
  <c r="E216" i="9" s="1"/>
  <c r="H240" i="5"/>
  <c r="E215" i="9"/>
  <c r="H261" i="7"/>
  <c r="E257" i="7" s="1"/>
  <c r="H262" i="7"/>
  <c r="E239" i="7"/>
  <c r="E249" i="7"/>
  <c r="H254" i="7"/>
  <c r="H237" i="7"/>
  <c r="E214" i="7"/>
  <c r="E216" i="7" s="1"/>
  <c r="E220" i="7"/>
  <c r="H239" i="7"/>
  <c r="E226" i="7"/>
  <c r="E227" i="7" s="1"/>
  <c r="E244" i="5"/>
  <c r="E245" i="9" s="1"/>
  <c r="H263" i="5"/>
  <c r="H262" i="5"/>
  <c r="E239" i="5"/>
  <c r="E240" i="9" s="1"/>
  <c r="E247" i="5"/>
  <c r="E248" i="5" s="1"/>
  <c r="H258" i="5"/>
  <c r="E235" i="5"/>
  <c r="E249" i="5"/>
  <c r="H254" i="5"/>
  <c r="H281" i="5"/>
  <c r="E262" i="5"/>
  <c r="E263" i="9" s="1"/>
  <c r="O10" i="7"/>
  <c r="H263" i="7" l="1"/>
  <c r="E244" i="7"/>
  <c r="E217" i="9"/>
  <c r="E216" i="5"/>
  <c r="E236" i="5"/>
  <c r="E237" i="9" s="1"/>
  <c r="H261" i="5"/>
  <c r="E236" i="9"/>
  <c r="E247" i="7"/>
  <c r="E248" i="7" s="1"/>
  <c r="H275" i="7"/>
  <c r="E270" i="7"/>
  <c r="H283" i="7"/>
  <c r="E260" i="7"/>
  <c r="H282" i="7"/>
  <c r="E278" i="7" s="1"/>
  <c r="H258" i="7"/>
  <c r="E235" i="7"/>
  <c r="E237" i="7" s="1"/>
  <c r="H260" i="7"/>
  <c r="E241" i="7"/>
  <c r="E260" i="5"/>
  <c r="E261" i="9" s="1"/>
  <c r="H283" i="5"/>
  <c r="E270" i="5"/>
  <c r="H275" i="5"/>
  <c r="E265" i="5"/>
  <c r="E266" i="9" s="1"/>
  <c r="H284" i="5"/>
  <c r="E268" i="5"/>
  <c r="E269" i="5" s="1"/>
  <c r="H302" i="5"/>
  <c r="H279" i="5"/>
  <c r="E256" i="5"/>
  <c r="N11" i="7"/>
  <c r="M11" i="7"/>
  <c r="H284" i="7" l="1"/>
  <c r="E265" i="7"/>
  <c r="E237" i="5"/>
  <c r="E238" i="9"/>
  <c r="E257" i="5"/>
  <c r="E258" i="9" s="1"/>
  <c r="H282" i="5"/>
  <c r="E283" i="5"/>
  <c r="E284" i="9" s="1"/>
  <c r="E289" i="5"/>
  <c r="E290" i="5" s="1"/>
  <c r="E257" i="9"/>
  <c r="H304" i="7"/>
  <c r="E281" i="7"/>
  <c r="H281" i="7"/>
  <c r="E262" i="7"/>
  <c r="H296" i="7"/>
  <c r="E291" i="7"/>
  <c r="E256" i="7"/>
  <c r="E258" i="7" s="1"/>
  <c r="H279" i="7"/>
  <c r="H303" i="7"/>
  <c r="E299" i="7" s="1"/>
  <c r="E268" i="7"/>
  <c r="E269" i="7" s="1"/>
  <c r="H300" i="5"/>
  <c r="E277" i="5"/>
  <c r="H323" i="5"/>
  <c r="E304" i="5"/>
  <c r="E305" i="9" s="1"/>
  <c r="H305" i="5"/>
  <c r="H304" i="5"/>
  <c r="E281" i="5"/>
  <c r="E282" i="9" s="1"/>
  <c r="H296" i="5"/>
  <c r="E291" i="5"/>
  <c r="O11" i="7"/>
  <c r="L11" i="7"/>
  <c r="H305" i="7" l="1"/>
  <c r="E286" i="7"/>
  <c r="E258" i="5"/>
  <c r="E259" i="9"/>
  <c r="E278" i="5"/>
  <c r="E279" i="9" s="1"/>
  <c r="H303" i="5"/>
  <c r="E286" i="5"/>
  <c r="E287" i="9" s="1"/>
  <c r="E278" i="9"/>
  <c r="H317" i="7"/>
  <c r="E312" i="7"/>
  <c r="E289" i="7"/>
  <c r="E290" i="7" s="1"/>
  <c r="E283" i="7"/>
  <c r="H302" i="7"/>
  <c r="H324" i="7"/>
  <c r="E320" i="7" s="1"/>
  <c r="H300" i="7"/>
  <c r="E277" i="7"/>
  <c r="E279" i="7" s="1"/>
  <c r="E302" i="7"/>
  <c r="H325" i="7"/>
  <c r="E307" i="5"/>
  <c r="E308" i="9" s="1"/>
  <c r="H326" i="5"/>
  <c r="E310" i="5"/>
  <c r="E311" i="5" s="1"/>
  <c r="H344" i="5"/>
  <c r="E298" i="5"/>
  <c r="H321" i="5"/>
  <c r="H317" i="5"/>
  <c r="E312" i="5"/>
  <c r="H325" i="5"/>
  <c r="E302" i="5"/>
  <c r="E303" i="9" s="1"/>
  <c r="M12" i="7"/>
  <c r="O12" i="7" s="1"/>
  <c r="N12" i="7"/>
  <c r="H326" i="7" l="1"/>
  <c r="E307" i="7"/>
  <c r="E280" i="9"/>
  <c r="E279" i="5"/>
  <c r="E299" i="5"/>
  <c r="E300" i="9" s="1"/>
  <c r="H324" i="5"/>
  <c r="E299" i="9"/>
  <c r="H323" i="7"/>
  <c r="E304" i="7"/>
  <c r="H346" i="7"/>
  <c r="E323" i="7"/>
  <c r="E298" i="7"/>
  <c r="E300" i="7" s="1"/>
  <c r="H321" i="7"/>
  <c r="H338" i="7"/>
  <c r="E333" i="7"/>
  <c r="E310" i="7"/>
  <c r="E311" i="7" s="1"/>
  <c r="H345" i="7"/>
  <c r="E341" i="7" s="1"/>
  <c r="E333" i="5"/>
  <c r="H338" i="5"/>
  <c r="H346" i="5"/>
  <c r="E323" i="5"/>
  <c r="E324" i="9" s="1"/>
  <c r="H365" i="5"/>
  <c r="E346" i="5"/>
  <c r="E347" i="9" s="1"/>
  <c r="E319" i="5"/>
  <c r="H342" i="5"/>
  <c r="E325" i="5"/>
  <c r="E326" i="9" s="1"/>
  <c r="E331" i="5"/>
  <c r="E332" i="5" s="1"/>
  <c r="E328" i="5"/>
  <c r="E329" i="9" s="1"/>
  <c r="H347" i="5"/>
  <c r="L12" i="7"/>
  <c r="N13" i="7"/>
  <c r="M13" i="7"/>
  <c r="H347" i="7" l="1"/>
  <c r="E328" i="7"/>
  <c r="E301" i="9"/>
  <c r="E300" i="5"/>
  <c r="E320" i="5"/>
  <c r="E321" i="9" s="1"/>
  <c r="H345" i="5"/>
  <c r="E320" i="9"/>
  <c r="H366" i="7"/>
  <c r="E362" i="7" s="1"/>
  <c r="E331" i="7"/>
  <c r="E332" i="7" s="1"/>
  <c r="E344" i="7"/>
  <c r="H367" i="7"/>
  <c r="E354" i="7"/>
  <c r="H359" i="7"/>
  <c r="H342" i="7"/>
  <c r="E319" i="7"/>
  <c r="E321" i="7" s="1"/>
  <c r="E325" i="7"/>
  <c r="H344" i="7"/>
  <c r="E340" i="5"/>
  <c r="H363" i="5"/>
  <c r="E344" i="5"/>
  <c r="E345" i="9" s="1"/>
  <c r="H367" i="5"/>
  <c r="E367" i="5"/>
  <c r="E368" i="9" s="1"/>
  <c r="H386" i="5"/>
  <c r="H368" i="5"/>
  <c r="E349" i="5"/>
  <c r="E350" i="9" s="1"/>
  <c r="E352" i="5"/>
  <c r="E353" i="5" s="1"/>
  <c r="E354" i="5"/>
  <c r="H359" i="5"/>
  <c r="L13" i="7"/>
  <c r="O13" i="7"/>
  <c r="H368" i="7" l="1"/>
  <c r="E349" i="7"/>
  <c r="E322" i="9"/>
  <c r="E321" i="5"/>
  <c r="E341" i="5"/>
  <c r="E342" i="9" s="1"/>
  <c r="H366" i="5"/>
  <c r="E341" i="9"/>
  <c r="E346" i="7"/>
  <c r="H365" i="7"/>
  <c r="E352" i="7"/>
  <c r="E353" i="7" s="1"/>
  <c r="H363" i="7"/>
  <c r="E340" i="7"/>
  <c r="E342" i="7" s="1"/>
  <c r="H388" i="7"/>
  <c r="E365" i="7"/>
  <c r="E375" i="7"/>
  <c r="H380" i="7"/>
  <c r="H387" i="7"/>
  <c r="E383" i="7" s="1"/>
  <c r="H407" i="5"/>
  <c r="E373" i="5"/>
  <c r="E374" i="5" s="1"/>
  <c r="E365" i="5"/>
  <c r="E366" i="9" s="1"/>
  <c r="H388" i="5"/>
  <c r="E370" i="5"/>
  <c r="E371" i="9" s="1"/>
  <c r="H389" i="5"/>
  <c r="H380" i="5"/>
  <c r="E375" i="5"/>
  <c r="H384" i="5"/>
  <c r="E361" i="5"/>
  <c r="N14" i="7"/>
  <c r="M14" i="7"/>
  <c r="O14" i="7" s="1"/>
  <c r="R3" i="7" s="1"/>
  <c r="H389" i="7" l="1"/>
  <c r="E370" i="7"/>
  <c r="E343" i="9"/>
  <c r="E342" i="5"/>
  <c r="E362" i="5"/>
  <c r="E363" i="9" s="1"/>
  <c r="H387" i="5"/>
  <c r="E362" i="9"/>
  <c r="E373" i="7"/>
  <c r="E374" i="7" s="1"/>
  <c r="E361" i="7"/>
  <c r="E363" i="7" s="1"/>
  <c r="H384" i="7"/>
  <c r="E367" i="7"/>
  <c r="H386" i="7"/>
  <c r="E386" i="7"/>
  <c r="H409" i="7"/>
  <c r="E396" i="7"/>
  <c r="H401" i="7"/>
  <c r="H408" i="7"/>
  <c r="E404" i="7" s="1"/>
  <c r="E396" i="5"/>
  <c r="H401" i="5"/>
  <c r="E386" i="5"/>
  <c r="E387" i="9" s="1"/>
  <c r="H409" i="5"/>
  <c r="E394" i="5"/>
  <c r="E395" i="5" s="1"/>
  <c r="E382" i="5"/>
  <c r="H405" i="5"/>
  <c r="E391" i="5"/>
  <c r="E392" i="9" s="1"/>
  <c r="H410" i="5"/>
  <c r="E388" i="5"/>
  <c r="E389" i="9" s="1"/>
  <c r="E409" i="5"/>
  <c r="E410" i="9" s="1"/>
  <c r="H428" i="5"/>
  <c r="L14" i="7"/>
  <c r="U3" i="7" s="1"/>
  <c r="M15" i="7"/>
  <c r="O15" i="7" s="1"/>
  <c r="N15" i="7"/>
  <c r="H410" i="7" l="1"/>
  <c r="E391" i="7"/>
  <c r="E363" i="5"/>
  <c r="E364" i="9"/>
  <c r="E383" i="5"/>
  <c r="E384" i="9" s="1"/>
  <c r="H408" i="5"/>
  <c r="E383" i="9"/>
  <c r="E388" i="7"/>
  <c r="H407" i="7"/>
  <c r="H405" i="7"/>
  <c r="E382" i="7"/>
  <c r="E384" i="7" s="1"/>
  <c r="H422" i="7"/>
  <c r="E417" i="7"/>
  <c r="E394" i="7"/>
  <c r="E395" i="7" s="1"/>
  <c r="H429" i="7"/>
  <c r="E425" i="7" s="1"/>
  <c r="H430" i="7"/>
  <c r="E407" i="7"/>
  <c r="H426" i="5"/>
  <c r="E403" i="5"/>
  <c r="E407" i="5"/>
  <c r="E408" i="9" s="1"/>
  <c r="H430" i="5"/>
  <c r="H449" i="5"/>
  <c r="E430" i="5"/>
  <c r="E431" i="9" s="1"/>
  <c r="E415" i="5"/>
  <c r="E416" i="5" s="1"/>
  <c r="H431" i="5"/>
  <c r="E412" i="5"/>
  <c r="E413" i="9" s="1"/>
  <c r="H422" i="5"/>
  <c r="E417" i="5"/>
  <c r="L15" i="7"/>
  <c r="N16" i="7"/>
  <c r="M16" i="7"/>
  <c r="O16" i="7" s="1"/>
  <c r="S3" i="7"/>
  <c r="T3" i="7" s="1"/>
  <c r="H431" i="7" l="1"/>
  <c r="E412" i="7"/>
  <c r="E384" i="5"/>
  <c r="E385" i="9"/>
  <c r="E404" i="5"/>
  <c r="E405" i="9" s="1"/>
  <c r="H429" i="5"/>
  <c r="E404" i="9"/>
  <c r="H426" i="7"/>
  <c r="E403" i="7"/>
  <c r="E405" i="7" s="1"/>
  <c r="E415" i="7"/>
  <c r="E416" i="7" s="1"/>
  <c r="H451" i="7"/>
  <c r="E428" i="7"/>
  <c r="H450" i="7"/>
  <c r="E446" i="7" s="1"/>
  <c r="H428" i="7"/>
  <c r="E409" i="7"/>
  <c r="H443" i="7"/>
  <c r="E438" i="7"/>
  <c r="E436" i="5"/>
  <c r="E437" i="5" s="1"/>
  <c r="H470" i="5"/>
  <c r="E428" i="5"/>
  <c r="E429" i="9" s="1"/>
  <c r="H451" i="5"/>
  <c r="H443" i="5"/>
  <c r="E438" i="5"/>
  <c r="H452" i="5"/>
  <c r="E433" i="5"/>
  <c r="E434" i="9" s="1"/>
  <c r="E424" i="5"/>
  <c r="H447" i="5"/>
  <c r="N17" i="7"/>
  <c r="M17" i="7"/>
  <c r="O17" i="7" s="1"/>
  <c r="L16" i="7"/>
  <c r="H452" i="7" l="1"/>
  <c r="E433" i="7"/>
  <c r="E406" i="9"/>
  <c r="E405" i="5"/>
  <c r="E425" i="5"/>
  <c r="E426" i="9" s="1"/>
  <c r="H450" i="5"/>
  <c r="E425" i="9"/>
  <c r="H471" i="7"/>
  <c r="E467" i="7" s="1"/>
  <c r="E459" i="7"/>
  <c r="H464" i="7"/>
  <c r="H472" i="7"/>
  <c r="E449" i="7"/>
  <c r="E436" i="7"/>
  <c r="E437" i="7" s="1"/>
  <c r="E424" i="7"/>
  <c r="E426" i="7" s="1"/>
  <c r="H447" i="7"/>
  <c r="H449" i="7"/>
  <c r="E430" i="7"/>
  <c r="H464" i="5"/>
  <c r="E459" i="5"/>
  <c r="H472" i="5"/>
  <c r="E449" i="5"/>
  <c r="E450" i="9" s="1"/>
  <c r="E472" i="5"/>
  <c r="E473" i="9" s="1"/>
  <c r="H491" i="5"/>
  <c r="E451" i="5"/>
  <c r="E452" i="9" s="1"/>
  <c r="E454" i="5"/>
  <c r="E455" i="9" s="1"/>
  <c r="H473" i="5"/>
  <c r="E445" i="5"/>
  <c r="H468" i="5"/>
  <c r="E457" i="5"/>
  <c r="E458" i="5" s="1"/>
  <c r="L17" i="7"/>
  <c r="M18" i="7"/>
  <c r="O18" i="7" s="1"/>
  <c r="N18" i="7"/>
  <c r="H473" i="7" l="1"/>
  <c r="E454" i="7"/>
  <c r="E427" i="9"/>
  <c r="E426" i="5"/>
  <c r="E446" i="5"/>
  <c r="E447" i="9" s="1"/>
  <c r="H471" i="5"/>
  <c r="E446" i="9"/>
  <c r="E470" i="7"/>
  <c r="H493" i="7"/>
  <c r="E451" i="7"/>
  <c r="H470" i="7"/>
  <c r="E480" i="7"/>
  <c r="H485" i="7"/>
  <c r="H492" i="7"/>
  <c r="E488" i="7" s="1"/>
  <c r="H468" i="7"/>
  <c r="E445" i="7"/>
  <c r="E447" i="7" s="1"/>
  <c r="E457" i="7"/>
  <c r="E458" i="7" s="1"/>
  <c r="H512" i="5"/>
  <c r="H493" i="5"/>
  <c r="E470" i="5"/>
  <c r="E471" i="9" s="1"/>
  <c r="E478" i="5"/>
  <c r="E479" i="5" s="1"/>
  <c r="H489" i="5"/>
  <c r="E466" i="5"/>
  <c r="E475" i="5"/>
  <c r="E476" i="9" s="1"/>
  <c r="H494" i="5"/>
  <c r="H485" i="5"/>
  <c r="E480" i="5"/>
  <c r="L18" i="7"/>
  <c r="N19" i="7"/>
  <c r="M19" i="7"/>
  <c r="O19" i="7" s="1"/>
  <c r="H494" i="7" l="1"/>
  <c r="E475" i="7"/>
  <c r="E448" i="9"/>
  <c r="E447" i="5"/>
  <c r="E467" i="5"/>
  <c r="E468" i="9" s="1"/>
  <c r="H492" i="5"/>
  <c r="E467" i="9"/>
  <c r="E472" i="7"/>
  <c r="H491" i="7"/>
  <c r="H514" i="7"/>
  <c r="E491" i="7"/>
  <c r="E478" i="7"/>
  <c r="E479" i="7" s="1"/>
  <c r="H489" i="7"/>
  <c r="E466" i="7"/>
  <c r="E468" i="7" s="1"/>
  <c r="H513" i="7"/>
  <c r="E509" i="7" s="1"/>
  <c r="H506" i="7"/>
  <c r="E501" i="7"/>
  <c r="H510" i="5"/>
  <c r="E487" i="5"/>
  <c r="H506" i="5"/>
  <c r="E501" i="5"/>
  <c r="H514" i="5"/>
  <c r="E491" i="5"/>
  <c r="E492" i="9" s="1"/>
  <c r="E493" i="5"/>
  <c r="E494" i="9" s="1"/>
  <c r="E499" i="5"/>
  <c r="E500" i="5" s="1"/>
  <c r="H515" i="5"/>
  <c r="E496" i="5"/>
  <c r="E497" i="9" s="1"/>
  <c r="H533" i="5"/>
  <c r="L19" i="7"/>
  <c r="N20" i="7"/>
  <c r="M20" i="7"/>
  <c r="O20" i="7" s="1"/>
  <c r="H515" i="7" l="1"/>
  <c r="E496" i="7"/>
  <c r="E468" i="5"/>
  <c r="E469" i="9"/>
  <c r="E488" i="5"/>
  <c r="E489" i="9" s="1"/>
  <c r="H513" i="5"/>
  <c r="E488" i="9"/>
  <c r="E499" i="7"/>
  <c r="E500" i="7" s="1"/>
  <c r="E512" i="7"/>
  <c r="H535" i="7"/>
  <c r="E487" i="7"/>
  <c r="E489" i="7" s="1"/>
  <c r="H510" i="7"/>
  <c r="E493" i="7"/>
  <c r="H512" i="7"/>
  <c r="H527" i="7"/>
  <c r="E522" i="7"/>
  <c r="H534" i="7"/>
  <c r="E530" i="7" s="1"/>
  <c r="E512" i="5"/>
  <c r="E513" i="9" s="1"/>
  <c r="H535" i="5"/>
  <c r="E522" i="5"/>
  <c r="H527" i="5"/>
  <c r="H536" i="5"/>
  <c r="E517" i="5"/>
  <c r="E518" i="9" s="1"/>
  <c r="E520" i="5"/>
  <c r="E521" i="5" s="1"/>
  <c r="E508" i="5"/>
  <c r="H531" i="5"/>
  <c r="H554" i="5"/>
  <c r="E514" i="5"/>
  <c r="E515" i="9" s="1"/>
  <c r="N21" i="7"/>
  <c r="M21" i="7"/>
  <c r="O21" i="7" s="1"/>
  <c r="L20" i="7"/>
  <c r="H536" i="7" l="1"/>
  <c r="E517" i="7"/>
  <c r="E490" i="9"/>
  <c r="E489" i="5"/>
  <c r="E509" i="5"/>
  <c r="E510" i="9" s="1"/>
  <c r="H534" i="5"/>
  <c r="E535" i="5"/>
  <c r="E536" i="9" s="1"/>
  <c r="E541" i="5"/>
  <c r="E542" i="5" s="1"/>
  <c r="E509" i="9"/>
  <c r="E514" i="7"/>
  <c r="H533" i="7"/>
  <c r="E533" i="7"/>
  <c r="H556" i="7"/>
  <c r="H555" i="7"/>
  <c r="E551" i="7" s="1"/>
  <c r="H548" i="7"/>
  <c r="E543" i="7"/>
  <c r="H531" i="7"/>
  <c r="E508" i="7"/>
  <c r="E510" i="7" s="1"/>
  <c r="E520" i="7"/>
  <c r="E521" i="7" s="1"/>
  <c r="H575" i="5"/>
  <c r="H557" i="5"/>
  <c r="H552" i="5"/>
  <c r="E529" i="5"/>
  <c r="E543" i="5"/>
  <c r="H548" i="5"/>
  <c r="H556" i="5"/>
  <c r="E533" i="5"/>
  <c r="E534" i="9" s="1"/>
  <c r="L21" i="7"/>
  <c r="N22" i="7"/>
  <c r="M22" i="7"/>
  <c r="O22" i="7" s="1"/>
  <c r="H557" i="7" l="1"/>
  <c r="E538" i="7"/>
  <c r="E510" i="5"/>
  <c r="E511" i="9"/>
  <c r="E530" i="5"/>
  <c r="E531" i="9" s="1"/>
  <c r="H555" i="5"/>
  <c r="E538" i="5"/>
  <c r="E539" i="9" s="1"/>
  <c r="E530" i="9"/>
  <c r="H569" i="7"/>
  <c r="E564" i="7"/>
  <c r="H577" i="7"/>
  <c r="E554" i="7"/>
  <c r="E541" i="7"/>
  <c r="E542" i="7" s="1"/>
  <c r="H552" i="7"/>
  <c r="E529" i="7"/>
  <c r="E531" i="7" s="1"/>
  <c r="E535" i="7"/>
  <c r="H554" i="7"/>
  <c r="H576" i="7"/>
  <c r="E572" i="7" s="1"/>
  <c r="E564" i="5"/>
  <c r="H569" i="5"/>
  <c r="H578" i="5"/>
  <c r="E559" i="5"/>
  <c r="E560" i="9" s="1"/>
  <c r="E556" i="5"/>
  <c r="E557" i="9" s="1"/>
  <c r="H577" i="5"/>
  <c r="E554" i="5"/>
  <c r="E555" i="9" s="1"/>
  <c r="H596" i="5"/>
  <c r="H573" i="5"/>
  <c r="E550" i="5"/>
  <c r="E562" i="5"/>
  <c r="E563" i="5" s="1"/>
  <c r="M23" i="7"/>
  <c r="O23" i="7" s="1"/>
  <c r="N23" i="7"/>
  <c r="L22" i="7"/>
  <c r="H578" i="7" l="1"/>
  <c r="E559" i="7"/>
  <c r="E531" i="5"/>
  <c r="E532" i="9"/>
  <c r="E551" i="5"/>
  <c r="E552" i="9" s="1"/>
  <c r="H576" i="5"/>
  <c r="E551" i="9"/>
  <c r="H597" i="7"/>
  <c r="E593" i="7" s="1"/>
  <c r="E585" i="7"/>
  <c r="H590" i="7"/>
  <c r="E562" i="7"/>
  <c r="E563" i="7" s="1"/>
  <c r="E556" i="7"/>
  <c r="H575" i="7"/>
  <c r="E575" i="7"/>
  <c r="H598" i="7"/>
  <c r="E550" i="7"/>
  <c r="E552" i="7" s="1"/>
  <c r="H573" i="7"/>
  <c r="H598" i="5"/>
  <c r="E575" i="5"/>
  <c r="E576" i="9" s="1"/>
  <c r="E585" i="5"/>
  <c r="H590" i="5"/>
  <c r="H599" i="5"/>
  <c r="E580" i="5"/>
  <c r="E581" i="9" s="1"/>
  <c r="E577" i="5"/>
  <c r="E578" i="9" s="1"/>
  <c r="E583" i="5"/>
  <c r="E584" i="5" s="1"/>
  <c r="H594" i="5"/>
  <c r="E571" i="5"/>
  <c r="H617" i="5"/>
  <c r="L23" i="7"/>
  <c r="M24" i="7"/>
  <c r="O24" i="7" s="1"/>
  <c r="N24" i="7"/>
  <c r="H599" i="7" l="1"/>
  <c r="E580" i="7"/>
  <c r="E553" i="9"/>
  <c r="E552" i="5"/>
  <c r="E572" i="5"/>
  <c r="E573" i="9" s="1"/>
  <c r="H597" i="5"/>
  <c r="E598" i="5"/>
  <c r="E599" i="9" s="1"/>
  <c r="E604" i="5"/>
  <c r="E605" i="5" s="1"/>
  <c r="E572" i="9"/>
  <c r="E583" i="7"/>
  <c r="E584" i="7" s="1"/>
  <c r="H594" i="7"/>
  <c r="E571" i="7"/>
  <c r="E573" i="7" s="1"/>
  <c r="H618" i="7"/>
  <c r="E614" i="7" s="1"/>
  <c r="H611" i="7"/>
  <c r="E606" i="7"/>
  <c r="E577" i="7"/>
  <c r="H596" i="7"/>
  <c r="H619" i="7"/>
  <c r="E596" i="7"/>
  <c r="H611" i="5"/>
  <c r="E606" i="5"/>
  <c r="H619" i="5"/>
  <c r="E596" i="5"/>
  <c r="E597" i="9" s="1"/>
  <c r="H620" i="5"/>
  <c r="H638" i="5"/>
  <c r="E619" i="5"/>
  <c r="E620" i="9" s="1"/>
  <c r="H615" i="5"/>
  <c r="E592" i="5"/>
  <c r="L24" i="7"/>
  <c r="N25" i="7"/>
  <c r="M25" i="7"/>
  <c r="H620" i="7" l="1"/>
  <c r="E601" i="7"/>
  <c r="E574" i="9"/>
  <c r="E573" i="5"/>
  <c r="E593" i="5"/>
  <c r="E594" i="9" s="1"/>
  <c r="H618" i="5"/>
  <c r="E601" i="5"/>
  <c r="E602" i="9" s="1"/>
  <c r="E593" i="9"/>
  <c r="H639" i="7"/>
  <c r="E635" i="7" s="1"/>
  <c r="E627" i="7"/>
  <c r="H632" i="7"/>
  <c r="H640" i="7"/>
  <c r="E617" i="7"/>
  <c r="H617" i="7"/>
  <c r="E598" i="7"/>
  <c r="E592" i="7"/>
  <c r="E594" i="7" s="1"/>
  <c r="H615" i="7"/>
  <c r="E604" i="7"/>
  <c r="E605" i="7" s="1"/>
  <c r="H640" i="5"/>
  <c r="E617" i="5"/>
  <c r="E618" i="9" s="1"/>
  <c r="E625" i="5"/>
  <c r="E626" i="5" s="1"/>
  <c r="H659" i="5"/>
  <c r="E640" i="5"/>
  <c r="E641" i="9" s="1"/>
  <c r="H636" i="5"/>
  <c r="E613" i="5"/>
  <c r="E622" i="5"/>
  <c r="E623" i="9" s="1"/>
  <c r="H641" i="5"/>
  <c r="H632" i="5"/>
  <c r="E627" i="5"/>
  <c r="L25" i="7"/>
  <c r="O25" i="7"/>
  <c r="M26" i="7" s="1"/>
  <c r="O26" i="7" s="1"/>
  <c r="E594" i="5" l="1"/>
  <c r="H641" i="7"/>
  <c r="E622" i="7"/>
  <c r="E595" i="9"/>
  <c r="E614" i="5"/>
  <c r="E615" i="9" s="1"/>
  <c r="H639" i="5"/>
  <c r="E614" i="9"/>
  <c r="E648" i="7"/>
  <c r="H653" i="7"/>
  <c r="E613" i="7"/>
  <c r="E615" i="7" s="1"/>
  <c r="H636" i="7"/>
  <c r="H660" i="7"/>
  <c r="E656" i="7" s="1"/>
  <c r="H661" i="7"/>
  <c r="E638" i="7"/>
  <c r="E625" i="7"/>
  <c r="E626" i="7" s="1"/>
  <c r="E619" i="7"/>
  <c r="H638" i="7"/>
  <c r="E646" i="5"/>
  <c r="E647" i="5" s="1"/>
  <c r="E648" i="5"/>
  <c r="H653" i="5"/>
  <c r="E643" i="5"/>
  <c r="E644" i="9" s="1"/>
  <c r="H662" i="5"/>
  <c r="E634" i="5"/>
  <c r="H657" i="5"/>
  <c r="H680" i="5"/>
  <c r="H661" i="5"/>
  <c r="E638" i="5"/>
  <c r="E639" i="9" s="1"/>
  <c r="N26" i="7"/>
  <c r="L26" i="7" s="1"/>
  <c r="U4" i="7" s="1"/>
  <c r="N27" i="7"/>
  <c r="R4" i="7"/>
  <c r="M27" i="7"/>
  <c r="O27" i="7" s="1"/>
  <c r="H662" i="7" l="1"/>
  <c r="E643" i="7"/>
  <c r="E616" i="9"/>
  <c r="E615" i="5"/>
  <c r="E635" i="5"/>
  <c r="E636" i="9" s="1"/>
  <c r="H660" i="5"/>
  <c r="E661" i="5"/>
  <c r="E662" i="9" s="1"/>
  <c r="E636" i="5"/>
  <c r="E635" i="9"/>
  <c r="E637" i="9" s="1"/>
  <c r="H657" i="7"/>
  <c r="E634" i="7"/>
  <c r="E636" i="7" s="1"/>
  <c r="E640" i="7"/>
  <c r="H659" i="7"/>
  <c r="E669" i="7"/>
  <c r="H674" i="7"/>
  <c r="E646" i="7"/>
  <c r="E647" i="7" s="1"/>
  <c r="E659" i="7"/>
  <c r="H682" i="7"/>
  <c r="H681" i="7"/>
  <c r="E677" i="7" s="1"/>
  <c r="E659" i="5"/>
  <c r="E660" i="9" s="1"/>
  <c r="H682" i="5"/>
  <c r="H678" i="5"/>
  <c r="E655" i="5"/>
  <c r="E667" i="5"/>
  <c r="E668" i="5" s="1"/>
  <c r="E669" i="5"/>
  <c r="H674" i="5"/>
  <c r="H701" i="5"/>
  <c r="H683" i="5"/>
  <c r="E664" i="5"/>
  <c r="E665" i="9" s="1"/>
  <c r="L27" i="7"/>
  <c r="M28" i="7"/>
  <c r="O28" i="7" s="1"/>
  <c r="N28" i="7"/>
  <c r="S4" i="7"/>
  <c r="T4" i="7" s="1"/>
  <c r="H683" i="7" l="1"/>
  <c r="E664" i="7"/>
  <c r="E656" i="5"/>
  <c r="E657" i="9" s="1"/>
  <c r="H681" i="5"/>
  <c r="E656" i="9"/>
  <c r="E661" i="7"/>
  <c r="H680" i="7"/>
  <c r="H702" i="7"/>
  <c r="E698" i="7" s="1"/>
  <c r="E667" i="7"/>
  <c r="E668" i="7" s="1"/>
  <c r="E655" i="7"/>
  <c r="E657" i="7" s="1"/>
  <c r="H678" i="7"/>
  <c r="E690" i="7"/>
  <c r="H695" i="7"/>
  <c r="E680" i="7"/>
  <c r="H703" i="7"/>
  <c r="E690" i="5"/>
  <c r="H695" i="5"/>
  <c r="H704" i="5"/>
  <c r="E685" i="5"/>
  <c r="E686" i="9" s="1"/>
  <c r="H699" i="5"/>
  <c r="E676" i="5"/>
  <c r="E680" i="5"/>
  <c r="E681" i="9" s="1"/>
  <c r="H703" i="5"/>
  <c r="E688" i="5"/>
  <c r="E689" i="5" s="1"/>
  <c r="E682" i="5"/>
  <c r="E683" i="9" s="1"/>
  <c r="E703" i="5"/>
  <c r="E704" i="9" s="1"/>
  <c r="H722" i="5"/>
  <c r="L28" i="7"/>
  <c r="N29" i="7"/>
  <c r="M29" i="7"/>
  <c r="O29" i="7" s="1"/>
  <c r="H704" i="7" l="1"/>
  <c r="E685" i="7"/>
  <c r="E657" i="5"/>
  <c r="E658" i="9"/>
  <c r="E677" i="5"/>
  <c r="E678" i="9" s="1"/>
  <c r="H702" i="5"/>
  <c r="E678" i="5"/>
  <c r="E677" i="9"/>
  <c r="E688" i="7"/>
  <c r="E689" i="7" s="1"/>
  <c r="H723" i="7"/>
  <c r="E719" i="7" s="1"/>
  <c r="H701" i="7"/>
  <c r="E682" i="7"/>
  <c r="H724" i="7"/>
  <c r="E701" i="7"/>
  <c r="E711" i="7"/>
  <c r="H716" i="7"/>
  <c r="H699" i="7"/>
  <c r="E676" i="7"/>
  <c r="E678" i="7" s="1"/>
  <c r="E706" i="5"/>
  <c r="E707" i="9" s="1"/>
  <c r="H725" i="5"/>
  <c r="H720" i="5"/>
  <c r="E697" i="5"/>
  <c r="E701" i="5"/>
  <c r="E702" i="9" s="1"/>
  <c r="H724" i="5"/>
  <c r="H716" i="5"/>
  <c r="E711" i="5"/>
  <c r="E709" i="5"/>
  <c r="E710" i="5" s="1"/>
  <c r="H743" i="5"/>
  <c r="L29" i="7"/>
  <c r="M30" i="7"/>
  <c r="O30" i="7" s="1"/>
  <c r="N30" i="7"/>
  <c r="H725" i="7" l="1"/>
  <c r="E706" i="7"/>
  <c r="E679" i="9"/>
  <c r="E698" i="5"/>
  <c r="E699" i="9" s="1"/>
  <c r="H723" i="5"/>
  <c r="E698" i="9"/>
  <c r="E722" i="7"/>
  <c r="H745" i="7"/>
  <c r="E703" i="7"/>
  <c r="H722" i="7"/>
  <c r="H744" i="7"/>
  <c r="E740" i="7" s="1"/>
  <c r="H737" i="7"/>
  <c r="E732" i="7"/>
  <c r="E709" i="7"/>
  <c r="E710" i="7" s="1"/>
  <c r="E697" i="7"/>
  <c r="E699" i="7" s="1"/>
  <c r="H720" i="7"/>
  <c r="H764" i="5"/>
  <c r="H741" i="5"/>
  <c r="E718" i="5"/>
  <c r="E722" i="5"/>
  <c r="E723" i="9" s="1"/>
  <c r="H745" i="5"/>
  <c r="E730" i="5"/>
  <c r="E731" i="5" s="1"/>
  <c r="H746" i="5"/>
  <c r="E727" i="5"/>
  <c r="E728" i="9" s="1"/>
  <c r="E732" i="5"/>
  <c r="H737" i="5"/>
  <c r="E724" i="5"/>
  <c r="E725" i="9" s="1"/>
  <c r="L30" i="7"/>
  <c r="M31" i="7"/>
  <c r="O31" i="7" s="1"/>
  <c r="N31" i="7"/>
  <c r="H746" i="7" l="1"/>
  <c r="E727" i="7"/>
  <c r="E699" i="5"/>
  <c r="E700" i="9"/>
  <c r="E719" i="5"/>
  <c r="E720" i="9" s="1"/>
  <c r="H744" i="5"/>
  <c r="E719" i="9"/>
  <c r="H765" i="7"/>
  <c r="E761" i="7" s="1"/>
  <c r="E718" i="7"/>
  <c r="E720" i="7" s="1"/>
  <c r="H741" i="7"/>
  <c r="E724" i="7"/>
  <c r="H743" i="7"/>
  <c r="E730" i="7"/>
  <c r="E731" i="7" s="1"/>
  <c r="E753" i="7"/>
  <c r="H758" i="7"/>
  <c r="E743" i="7"/>
  <c r="H766" i="7"/>
  <c r="H767" i="5"/>
  <c r="E748" i="5"/>
  <c r="E749" i="9" s="1"/>
  <c r="E739" i="5"/>
  <c r="H762" i="5"/>
  <c r="E743" i="5"/>
  <c r="E744" i="9" s="1"/>
  <c r="H766" i="5"/>
  <c r="H785" i="5"/>
  <c r="E766" i="5"/>
  <c r="E767" i="9" s="1"/>
  <c r="E751" i="5"/>
  <c r="E752" i="5" s="1"/>
  <c r="H758" i="5"/>
  <c r="E753" i="5"/>
  <c r="E745" i="5"/>
  <c r="E746" i="9" s="1"/>
  <c r="L31" i="7"/>
  <c r="N32" i="7"/>
  <c r="M32" i="7"/>
  <c r="O32" i="7" s="1"/>
  <c r="E720" i="5" l="1"/>
  <c r="H767" i="7"/>
  <c r="E748" i="7"/>
  <c r="E721" i="9"/>
  <c r="E740" i="5"/>
  <c r="E741" i="9" s="1"/>
  <c r="H765" i="5"/>
  <c r="E740" i="9"/>
  <c r="H764" i="7"/>
  <c r="E745" i="7"/>
  <c r="H787" i="7"/>
  <c r="E764" i="7"/>
  <c r="E739" i="7"/>
  <c r="E741" i="7" s="1"/>
  <c r="H762" i="7"/>
  <c r="E774" i="7"/>
  <c r="E751" i="7"/>
  <c r="E752" i="7" s="1"/>
  <c r="H786" i="7"/>
  <c r="E782" i="7" s="1"/>
  <c r="H806" i="5"/>
  <c r="E760" i="5"/>
  <c r="H783" i="5"/>
  <c r="H779" i="5"/>
  <c r="E774" i="5"/>
  <c r="E764" i="5"/>
  <c r="E765" i="9" s="1"/>
  <c r="H787" i="5"/>
  <c r="E772" i="5"/>
  <c r="E773" i="5" s="1"/>
  <c r="E769" i="5"/>
  <c r="E770" i="9" s="1"/>
  <c r="H788" i="5"/>
  <c r="L32" i="7"/>
  <c r="N33" i="7"/>
  <c r="M33" i="7"/>
  <c r="O33" i="7" s="1"/>
  <c r="H788" i="7" l="1"/>
  <c r="E769" i="7"/>
  <c r="E742" i="9"/>
  <c r="E741" i="5"/>
  <c r="E761" i="5"/>
  <c r="E762" i="9" s="1"/>
  <c r="H786" i="5"/>
  <c r="E761" i="9"/>
  <c r="H800" i="7"/>
  <c r="E795" i="7"/>
  <c r="H783" i="7"/>
  <c r="E760" i="7"/>
  <c r="E762" i="7" s="1"/>
  <c r="H807" i="7"/>
  <c r="E803" i="7" s="1"/>
  <c r="E785" i="7"/>
  <c r="H808" i="7"/>
  <c r="E772" i="7"/>
  <c r="E773" i="7" s="1"/>
  <c r="E766" i="7"/>
  <c r="H785" i="7"/>
  <c r="H809" i="5"/>
  <c r="E790" i="5"/>
  <c r="E791" i="9" s="1"/>
  <c r="H808" i="5"/>
  <c r="E785" i="5"/>
  <c r="E786" i="9" s="1"/>
  <c r="E793" i="5"/>
  <c r="E794" i="5" s="1"/>
  <c r="E808" i="5"/>
  <c r="E809" i="9" s="1"/>
  <c r="H827" i="5"/>
  <c r="E795" i="5"/>
  <c r="H800" i="5"/>
  <c r="H804" i="5"/>
  <c r="E781" i="5"/>
  <c r="E787" i="5"/>
  <c r="E788" i="9" s="1"/>
  <c r="L33" i="7"/>
  <c r="N34" i="7"/>
  <c r="M34" i="7"/>
  <c r="O34" i="7" s="1"/>
  <c r="E762" i="5" l="1"/>
  <c r="H809" i="7"/>
  <c r="E790" i="7"/>
  <c r="E763" i="9"/>
  <c r="E782" i="5"/>
  <c r="E783" i="9" s="1"/>
  <c r="H807" i="5"/>
  <c r="E782" i="9"/>
  <c r="H829" i="7"/>
  <c r="E806" i="7"/>
  <c r="H828" i="7"/>
  <c r="E824" i="7" s="1"/>
  <c r="H804" i="7"/>
  <c r="E781" i="7"/>
  <c r="E783" i="7" s="1"/>
  <c r="E793" i="7"/>
  <c r="E794" i="7" s="1"/>
  <c r="E816" i="7"/>
  <c r="H821" i="7"/>
  <c r="H806" i="7"/>
  <c r="E787" i="7"/>
  <c r="H829" i="5"/>
  <c r="E806" i="5"/>
  <c r="E807" i="9" s="1"/>
  <c r="H825" i="5"/>
  <c r="E802" i="5"/>
  <c r="E811" i="5"/>
  <c r="E812" i="9" s="1"/>
  <c r="H830" i="5"/>
  <c r="E814" i="5"/>
  <c r="E815" i="5" s="1"/>
  <c r="E816" i="5"/>
  <c r="H821" i="5"/>
  <c r="E829" i="5"/>
  <c r="E830" i="9" s="1"/>
  <c r="H848" i="5"/>
  <c r="L34" i="7"/>
  <c r="N35" i="7"/>
  <c r="M35" i="7"/>
  <c r="O35" i="7" s="1"/>
  <c r="H830" i="7" l="1"/>
  <c r="E811" i="7"/>
  <c r="E783" i="5"/>
  <c r="E784" i="9"/>
  <c r="E803" i="5"/>
  <c r="E804" i="9" s="1"/>
  <c r="H828" i="5"/>
  <c r="E803" i="9"/>
  <c r="E814" i="7"/>
  <c r="E815" i="7" s="1"/>
  <c r="E808" i="7"/>
  <c r="H827" i="7"/>
  <c r="H849" i="7"/>
  <c r="E845" i="7" s="1"/>
  <c r="E802" i="7"/>
  <c r="E804" i="7" s="1"/>
  <c r="H825" i="7"/>
  <c r="H842" i="7"/>
  <c r="E837" i="7"/>
  <c r="E827" i="7"/>
  <c r="H850" i="7"/>
  <c r="H869" i="5"/>
  <c r="H842" i="5"/>
  <c r="E837" i="5"/>
  <c r="E823" i="5"/>
  <c r="H846" i="5"/>
  <c r="E835" i="5"/>
  <c r="E836" i="5" s="1"/>
  <c r="E832" i="5"/>
  <c r="E833" i="9" s="1"/>
  <c r="H851" i="5"/>
  <c r="H850" i="5"/>
  <c r="E827" i="5"/>
  <c r="E828" i="9" s="1"/>
  <c r="L35" i="7"/>
  <c r="M36" i="7"/>
  <c r="O36" i="7" s="1"/>
  <c r="N36" i="7"/>
  <c r="H851" i="7" l="1"/>
  <c r="E832" i="7"/>
  <c r="E804" i="5"/>
  <c r="E805" i="9"/>
  <c r="E824" i="5"/>
  <c r="E825" i="9" s="1"/>
  <c r="H849" i="5"/>
  <c r="E824" i="9"/>
  <c r="E823" i="7"/>
  <c r="E825" i="7" s="1"/>
  <c r="H846" i="7"/>
  <c r="H870" i="7"/>
  <c r="E866" i="7" s="1"/>
  <c r="H848" i="7"/>
  <c r="E829" i="7"/>
  <c r="E835" i="7"/>
  <c r="E836" i="7" s="1"/>
  <c r="E848" i="7"/>
  <c r="H871" i="7"/>
  <c r="E858" i="7"/>
  <c r="H863" i="7"/>
  <c r="E856" i="5"/>
  <c r="E857" i="5" s="1"/>
  <c r="E858" i="5"/>
  <c r="H863" i="5"/>
  <c r="H867" i="5"/>
  <c r="E844" i="5"/>
  <c r="H871" i="5"/>
  <c r="E848" i="5"/>
  <c r="E849" i="9" s="1"/>
  <c r="E853" i="5"/>
  <c r="E854" i="9" s="1"/>
  <c r="H872" i="5"/>
  <c r="E850" i="5"/>
  <c r="E851" i="9" s="1"/>
  <c r="H890" i="5"/>
  <c r="E871" i="5"/>
  <c r="E872" i="9" s="1"/>
  <c r="L36" i="7"/>
  <c r="N37" i="7"/>
  <c r="M37" i="7"/>
  <c r="O37" i="7" s="1"/>
  <c r="E826" i="9" l="1"/>
  <c r="E825" i="5"/>
  <c r="H872" i="7"/>
  <c r="E853" i="7"/>
  <c r="E845" i="5"/>
  <c r="E846" i="9" s="1"/>
  <c r="H870" i="5"/>
  <c r="E845" i="9"/>
  <c r="E850" i="7"/>
  <c r="H869" i="7"/>
  <c r="E879" i="7"/>
  <c r="H884" i="7"/>
  <c r="H891" i="7"/>
  <c r="E887" i="7" s="1"/>
  <c r="E856" i="7"/>
  <c r="E857" i="7" s="1"/>
  <c r="H867" i="7"/>
  <c r="E844" i="7"/>
  <c r="E846" i="7" s="1"/>
  <c r="H892" i="7"/>
  <c r="E869" i="7"/>
  <c r="H892" i="5"/>
  <c r="E869" i="5"/>
  <c r="E870" i="9" s="1"/>
  <c r="H888" i="5"/>
  <c r="E865" i="5"/>
  <c r="H911" i="5"/>
  <c r="E892" i="5"/>
  <c r="E893" i="9" s="1"/>
  <c r="H893" i="5"/>
  <c r="E874" i="5"/>
  <c r="E875" i="9" s="1"/>
  <c r="H884" i="5"/>
  <c r="E879" i="5"/>
  <c r="E877" i="5"/>
  <c r="E878" i="5" s="1"/>
  <c r="N38" i="7"/>
  <c r="M38" i="7"/>
  <c r="O38" i="7" s="1"/>
  <c r="L37" i="7"/>
  <c r="H893" i="7" l="1"/>
  <c r="E874" i="7"/>
  <c r="E847" i="9"/>
  <c r="E846" i="5"/>
  <c r="E866" i="5"/>
  <c r="E867" i="9" s="1"/>
  <c r="H891" i="5"/>
  <c r="E866" i="9"/>
  <c r="H905" i="7"/>
  <c r="E900" i="7"/>
  <c r="E865" i="7"/>
  <c r="E867" i="7" s="1"/>
  <c r="H888" i="7"/>
  <c r="E871" i="7"/>
  <c r="H890" i="7"/>
  <c r="H912" i="7"/>
  <c r="E908" i="7" s="1"/>
  <c r="E877" i="7"/>
  <c r="E878" i="7" s="1"/>
  <c r="E890" i="7"/>
  <c r="H913" i="7"/>
  <c r="E886" i="5"/>
  <c r="H909" i="5"/>
  <c r="H932" i="5"/>
  <c r="H914" i="5"/>
  <c r="E895" i="5"/>
  <c r="E896" i="9" s="1"/>
  <c r="E898" i="5"/>
  <c r="E899" i="5" s="1"/>
  <c r="E890" i="5"/>
  <c r="E891" i="9" s="1"/>
  <c r="H913" i="5"/>
  <c r="E900" i="5"/>
  <c r="H905" i="5"/>
  <c r="L38" i="7"/>
  <c r="U5" i="7" s="1"/>
  <c r="R5" i="7"/>
  <c r="M39" i="7"/>
  <c r="O39" i="7" s="1"/>
  <c r="N39" i="7"/>
  <c r="H914" i="7" l="1"/>
  <c r="E895" i="7"/>
  <c r="E867" i="5"/>
  <c r="E868" i="9"/>
  <c r="E887" i="5"/>
  <c r="E888" i="9" s="1"/>
  <c r="H912" i="5"/>
  <c r="E913" i="5"/>
  <c r="E914" i="9" s="1"/>
  <c r="E916" i="5"/>
  <c r="E917" i="9" s="1"/>
  <c r="E888" i="5"/>
  <c r="E887" i="9"/>
  <c r="E892" i="7"/>
  <c r="H911" i="7"/>
  <c r="E886" i="7"/>
  <c r="E888" i="7" s="1"/>
  <c r="H909" i="7"/>
  <c r="H926" i="7"/>
  <c r="E921" i="7"/>
  <c r="H934" i="7"/>
  <c r="E911" i="7"/>
  <c r="E898" i="7"/>
  <c r="E899" i="7" s="1"/>
  <c r="H933" i="7"/>
  <c r="E929" i="7" s="1"/>
  <c r="H953" i="5"/>
  <c r="E934" i="5"/>
  <c r="E935" i="9" s="1"/>
  <c r="E919" i="5"/>
  <c r="E920" i="5" s="1"/>
  <c r="H935" i="5"/>
  <c r="H934" i="5"/>
  <c r="E911" i="5"/>
  <c r="E912" i="9" s="1"/>
  <c r="E907" i="5"/>
  <c r="H930" i="5"/>
  <c r="E921" i="5"/>
  <c r="H926" i="5"/>
  <c r="L39" i="7"/>
  <c r="S5" i="7"/>
  <c r="T5" i="7" s="1"/>
  <c r="N40" i="7"/>
  <c r="M40" i="7"/>
  <c r="O40" i="7" s="1"/>
  <c r="H935" i="7" l="1"/>
  <c r="E916" i="7"/>
  <c r="E889" i="9"/>
  <c r="E908" i="5"/>
  <c r="E909" i="9" s="1"/>
  <c r="H933" i="5"/>
  <c r="E908" i="9"/>
  <c r="E919" i="7"/>
  <c r="E920" i="7" s="1"/>
  <c r="H955" i="7"/>
  <c r="E932" i="7"/>
  <c r="E907" i="7"/>
  <c r="E909" i="7" s="1"/>
  <c r="H930" i="7"/>
  <c r="H954" i="7"/>
  <c r="E950" i="7" s="1"/>
  <c r="E942" i="7"/>
  <c r="H947" i="7"/>
  <c r="E913" i="7"/>
  <c r="H932" i="7"/>
  <c r="H951" i="5"/>
  <c r="E928" i="5"/>
  <c r="E937" i="5"/>
  <c r="E938" i="9" s="1"/>
  <c r="H956" i="5"/>
  <c r="H955" i="5"/>
  <c r="E932" i="5"/>
  <c r="E933" i="9" s="1"/>
  <c r="E942" i="5"/>
  <c r="H947" i="5"/>
  <c r="H974" i="5"/>
  <c r="E955" i="5"/>
  <c r="E956" i="9" s="1"/>
  <c r="E940" i="5"/>
  <c r="E941" i="5" s="1"/>
  <c r="N41" i="7"/>
  <c r="M41" i="7"/>
  <c r="O41" i="7" s="1"/>
  <c r="L40" i="7"/>
  <c r="H956" i="7" l="1"/>
  <c r="E937" i="7"/>
  <c r="E909" i="5"/>
  <c r="E910" i="9"/>
  <c r="E929" i="5"/>
  <c r="E930" i="9" s="1"/>
  <c r="H954" i="5"/>
  <c r="E929" i="9"/>
  <c r="H975" i="7"/>
  <c r="E971" i="7" s="1"/>
  <c r="E934" i="7"/>
  <c r="H953" i="7"/>
  <c r="E953" i="7"/>
  <c r="H976" i="7"/>
  <c r="E963" i="7"/>
  <c r="H968" i="7"/>
  <c r="E928" i="7"/>
  <c r="E930" i="7" s="1"/>
  <c r="H951" i="7"/>
  <c r="E940" i="7"/>
  <c r="E941" i="7" s="1"/>
  <c r="H995" i="5"/>
  <c r="H968" i="5"/>
  <c r="E963" i="5"/>
  <c r="E958" i="5"/>
  <c r="E959" i="9" s="1"/>
  <c r="H977" i="5"/>
  <c r="E961" i="5"/>
  <c r="E962" i="5" s="1"/>
  <c r="E953" i="5"/>
  <c r="E954" i="9" s="1"/>
  <c r="H976" i="5"/>
  <c r="H972" i="5"/>
  <c r="E949" i="5"/>
  <c r="L41" i="7"/>
  <c r="N42" i="7"/>
  <c r="M42" i="7"/>
  <c r="E930" i="5" l="1"/>
  <c r="H977" i="7"/>
  <c r="E958" i="7"/>
  <c r="E931" i="9"/>
  <c r="E950" i="5"/>
  <c r="E951" i="9" s="1"/>
  <c r="H975" i="5"/>
  <c r="E950" i="9"/>
  <c r="E974" i="7"/>
  <c r="H997" i="7"/>
  <c r="E949" i="7"/>
  <c r="E951" i="7" s="1"/>
  <c r="H972" i="7"/>
  <c r="E961" i="7"/>
  <c r="E962" i="7" s="1"/>
  <c r="E984" i="7"/>
  <c r="H989" i="7"/>
  <c r="H996" i="7"/>
  <c r="E992" i="7" s="1"/>
  <c r="H974" i="7"/>
  <c r="E955" i="7"/>
  <c r="E970" i="5"/>
  <c r="H993" i="5"/>
  <c r="H997" i="5"/>
  <c r="E974" i="5"/>
  <c r="E975" i="9" s="1"/>
  <c r="H989" i="5"/>
  <c r="E984" i="5"/>
  <c r="E982" i="5"/>
  <c r="E983" i="5" s="1"/>
  <c r="E976" i="5"/>
  <c r="E977" i="9" s="1"/>
  <c r="E979" i="5"/>
  <c r="E980" i="9" s="1"/>
  <c r="H998" i="5"/>
  <c r="H1016" i="5"/>
  <c r="L42" i="7"/>
  <c r="O42" i="7"/>
  <c r="M43" i="7" s="1"/>
  <c r="O43" i="7" s="1"/>
  <c r="H998" i="7" l="1"/>
  <c r="E979" i="7"/>
  <c r="E951" i="5"/>
  <c r="E952" i="9"/>
  <c r="E971" i="5"/>
  <c r="E972" i="9" s="1"/>
  <c r="H996" i="5"/>
  <c r="E971" i="9"/>
  <c r="H995" i="7"/>
  <c r="E976" i="7"/>
  <c r="E982" i="7"/>
  <c r="E983" i="7" s="1"/>
  <c r="H993" i="7"/>
  <c r="E970" i="7"/>
  <c r="E972" i="7" s="1"/>
  <c r="E1005" i="7"/>
  <c r="H1010" i="7"/>
  <c r="E995" i="7"/>
  <c r="H1018" i="7"/>
  <c r="H1017" i="7"/>
  <c r="E1013" i="7" s="1"/>
  <c r="E1005" i="5"/>
  <c r="H1010" i="5"/>
  <c r="E1003" i="5"/>
  <c r="E1004" i="5" s="1"/>
  <c r="E1000" i="5"/>
  <c r="E1001" i="9" s="1"/>
  <c r="H1019" i="5"/>
  <c r="H1014" i="5"/>
  <c r="E991" i="5"/>
  <c r="E997" i="5"/>
  <c r="E998" i="9" s="1"/>
  <c r="H1037" i="5"/>
  <c r="E1039" i="5" s="1"/>
  <c r="E1040" i="9" s="1"/>
  <c r="H1018" i="5"/>
  <c r="E995" i="5"/>
  <c r="E996" i="9" s="1"/>
  <c r="N43" i="7"/>
  <c r="L43" i="7" s="1"/>
  <c r="N44" i="7"/>
  <c r="M44" i="7"/>
  <c r="O44" i="7" s="1"/>
  <c r="H1019" i="7" l="1"/>
  <c r="E1000" i="7"/>
  <c r="E972" i="5"/>
  <c r="E973" i="9"/>
  <c r="E992" i="5"/>
  <c r="E993" i="9" s="1"/>
  <c r="H1017" i="5"/>
  <c r="H1031" i="5"/>
  <c r="E1021" i="5"/>
  <c r="E1022" i="9" s="1"/>
  <c r="E993" i="5"/>
  <c r="E992" i="9"/>
  <c r="H1038" i="7"/>
  <c r="E1034" i="7" s="1"/>
  <c r="E1003" i="7"/>
  <c r="E1004" i="7" s="1"/>
  <c r="H1014" i="7"/>
  <c r="E991" i="7"/>
  <c r="E993" i="7" s="1"/>
  <c r="H1039" i="7"/>
  <c r="E1016" i="7"/>
  <c r="E1026" i="7"/>
  <c r="H1031" i="7"/>
  <c r="E997" i="7"/>
  <c r="H1016" i="7"/>
  <c r="H1035" i="5"/>
  <c r="E1012" i="5"/>
  <c r="E1016" i="5"/>
  <c r="E1017" i="9" s="1"/>
  <c r="H1039" i="5"/>
  <c r="E1037" i="5" s="1"/>
  <c r="E1038" i="9" s="1"/>
  <c r="E1026" i="5"/>
  <c r="H1040" i="5"/>
  <c r="E1018" i="5"/>
  <c r="E1019" i="9" s="1"/>
  <c r="L44" i="7"/>
  <c r="N45" i="7"/>
  <c r="M45" i="7"/>
  <c r="O45" i="7" s="1"/>
  <c r="H1040" i="7" l="1"/>
  <c r="E1042" i="7" s="1"/>
  <c r="E1021" i="7"/>
  <c r="E994" i="9"/>
  <c r="E1013" i="5"/>
  <c r="E1014" i="9" s="1"/>
  <c r="H1038" i="5"/>
  <c r="E1034" i="5" s="1"/>
  <c r="E1035" i="9" s="1"/>
  <c r="E1037" i="7"/>
  <c r="E1024" i="5"/>
  <c r="E1025" i="5" s="1"/>
  <c r="E1042" i="5"/>
  <c r="E1043" i="9" s="1"/>
  <c r="E1045" i="5"/>
  <c r="E1046" i="5" s="1"/>
  <c r="E1033" i="5"/>
  <c r="E1034" i="9" s="1"/>
  <c r="E1013" i="9"/>
  <c r="E1012" i="7"/>
  <c r="E1014" i="7" s="1"/>
  <c r="H1035" i="7"/>
  <c r="E1033" i="7" s="1"/>
  <c r="E1035" i="7" s="1"/>
  <c r="E1047" i="7"/>
  <c r="H1037" i="7"/>
  <c r="E1039" i="7" s="1"/>
  <c r="E1018" i="7"/>
  <c r="E1024" i="7"/>
  <c r="E1025" i="7" s="1"/>
  <c r="E1047" i="5"/>
  <c r="M46" i="7"/>
  <c r="O46" i="7" s="1"/>
  <c r="N46" i="7"/>
  <c r="L45" i="7"/>
  <c r="E1015" i="9" l="1"/>
  <c r="E1014" i="5"/>
  <c r="E1036" i="9"/>
  <c r="E1045" i="7"/>
  <c r="E1046" i="7" s="1"/>
  <c r="E1035" i="5"/>
  <c r="L46" i="7"/>
  <c r="M47" i="7"/>
  <c r="O47" i="7" s="1"/>
  <c r="N47" i="7"/>
  <c r="L47" i="7" l="1"/>
  <c r="M48" i="7"/>
  <c r="O48" i="7" s="1"/>
  <c r="N48" i="7"/>
  <c r="L48" i="7" l="1"/>
  <c r="M49" i="7"/>
  <c r="O49" i="7" s="1"/>
  <c r="N49" i="7"/>
  <c r="L49" i="7" s="1"/>
  <c r="N50" i="7" l="1"/>
  <c r="M50" i="7"/>
  <c r="O50" i="7" s="1"/>
  <c r="N51" i="7" l="1"/>
  <c r="R6" i="7"/>
  <c r="M51" i="7"/>
  <c r="O51" i="7" s="1"/>
  <c r="L50" i="7"/>
  <c r="U6" i="7" s="1"/>
  <c r="M52" i="7" l="1"/>
  <c r="O52" i="7" s="1"/>
  <c r="N52" i="7"/>
  <c r="L51" i="7"/>
  <c r="S6" i="7"/>
  <c r="T6" i="7" s="1"/>
  <c r="L52" i="7" l="1"/>
  <c r="N53" i="7"/>
  <c r="M53" i="7"/>
  <c r="O53" i="7" s="1"/>
  <c r="L53" i="7" l="1"/>
  <c r="N54" i="7"/>
  <c r="M54" i="7"/>
  <c r="O54" i="7" s="1"/>
  <c r="L54" i="7" l="1"/>
  <c r="M55" i="7"/>
  <c r="O55" i="7" s="1"/>
  <c r="N55" i="7"/>
  <c r="L55" i="7" l="1"/>
  <c r="N56" i="7"/>
  <c r="M56" i="7"/>
  <c r="O56" i="7" s="1"/>
  <c r="N57" i="7" l="1"/>
  <c r="M57" i="7"/>
  <c r="O57" i="7" s="1"/>
  <c r="L56" i="7"/>
  <c r="L57" i="7" l="1"/>
  <c r="M58" i="7"/>
  <c r="O58" i="7" s="1"/>
  <c r="N58" i="7"/>
  <c r="L58" i="7" l="1"/>
  <c r="N59" i="7"/>
  <c r="M59" i="7"/>
  <c r="O59" i="7" s="1"/>
  <c r="L59" i="7" l="1"/>
  <c r="N60" i="7"/>
  <c r="M60" i="7"/>
  <c r="O60" i="7" s="1"/>
  <c r="L60" i="7" l="1"/>
  <c r="M61" i="7"/>
  <c r="O61" i="7" s="1"/>
  <c r="N61" i="7"/>
  <c r="L61" i="7" l="1"/>
  <c r="N62" i="7"/>
  <c r="M62" i="7"/>
  <c r="O62" i="7" s="1"/>
  <c r="L62" i="7" l="1"/>
  <c r="U7" i="7" s="1"/>
  <c r="N63" i="7"/>
  <c r="M63" i="7"/>
  <c r="O63" i="7" s="1"/>
  <c r="R7" i="7"/>
  <c r="L63" i="7" l="1"/>
  <c r="S7" i="7"/>
  <c r="T7" i="7" s="1"/>
  <c r="M64" i="7"/>
  <c r="O64" i="7" s="1"/>
  <c r="N64" i="7"/>
  <c r="L64" i="7" l="1"/>
  <c r="M65" i="7"/>
  <c r="O65" i="7" s="1"/>
  <c r="N65" i="7"/>
  <c r="M66" i="7" l="1"/>
  <c r="N66" i="7"/>
  <c r="L65" i="7"/>
  <c r="O66" i="7" l="1"/>
  <c r="L66" i="7"/>
  <c r="M67" i="7" l="1"/>
  <c r="O67" i="7" s="1"/>
  <c r="N67" i="7"/>
  <c r="L67" i="7" l="1"/>
  <c r="N68" i="7"/>
  <c r="M68" i="7"/>
  <c r="O68" i="7" s="1"/>
  <c r="L68" i="7" l="1"/>
  <c r="N69" i="7"/>
  <c r="M69" i="7"/>
  <c r="O69" i="7" s="1"/>
  <c r="L69" i="7" l="1"/>
  <c r="M70" i="7"/>
  <c r="O70" i="7" s="1"/>
  <c r="N70" i="7"/>
  <c r="L70" i="7" l="1"/>
  <c r="N71" i="7"/>
  <c r="M71" i="7"/>
  <c r="O71" i="7" s="1"/>
  <c r="L71" i="7" l="1"/>
  <c r="N72" i="7"/>
  <c r="M72" i="7"/>
  <c r="O72" i="7" s="1"/>
  <c r="M73" i="7" l="1"/>
  <c r="O73" i="7" s="1"/>
  <c r="N73" i="7"/>
  <c r="L72" i="7"/>
  <c r="L73" i="7" l="1"/>
  <c r="N74" i="7"/>
  <c r="M74" i="7"/>
  <c r="O74" i="7" s="1"/>
  <c r="L74" i="7" l="1"/>
  <c r="U8" i="7" s="1"/>
  <c r="N75" i="7"/>
  <c r="R8" i="7"/>
  <c r="M75" i="7"/>
  <c r="O75" i="7" s="1"/>
  <c r="M76" i="7" l="1"/>
  <c r="O76" i="7" s="1"/>
  <c r="N76" i="7"/>
  <c r="L75" i="7"/>
  <c r="S8" i="7"/>
  <c r="T8" i="7" s="1"/>
  <c r="L76" i="7" l="1"/>
  <c r="N77" i="7"/>
  <c r="M77" i="7"/>
  <c r="O77" i="7" s="1"/>
  <c r="L77" i="7" l="1"/>
  <c r="M78" i="7"/>
  <c r="O78" i="7" s="1"/>
  <c r="N78" i="7"/>
  <c r="L78" i="7" l="1"/>
  <c r="N79" i="7"/>
  <c r="M79" i="7"/>
  <c r="L79" i="7" l="1"/>
  <c r="O79" i="7"/>
  <c r="N80" i="7" l="1"/>
  <c r="M80" i="7"/>
  <c r="O80" i="7" s="1"/>
  <c r="L80" i="7" l="1"/>
  <c r="N81" i="7"/>
  <c r="M81" i="7"/>
  <c r="O81" i="7" s="1"/>
  <c r="L81" i="7" l="1"/>
  <c r="M82" i="7"/>
  <c r="O82" i="7" s="1"/>
  <c r="N82" i="7"/>
  <c r="L82" i="7" l="1"/>
  <c r="N83" i="7"/>
  <c r="M83" i="7"/>
  <c r="O83" i="7" s="1"/>
  <c r="N84" i="7" l="1"/>
  <c r="M84" i="7"/>
  <c r="O84" i="7" s="1"/>
  <c r="L83" i="7"/>
  <c r="L84" i="7" l="1"/>
  <c r="M85" i="7"/>
  <c r="O85" i="7" s="1"/>
  <c r="N85" i="7"/>
  <c r="L85" i="7" l="1"/>
  <c r="N86" i="7"/>
  <c r="M86" i="7"/>
  <c r="O86" i="7" s="1"/>
  <c r="L86" i="7" l="1"/>
  <c r="U9" i="7" s="1"/>
  <c r="M87" i="7"/>
  <c r="O87" i="7" s="1"/>
  <c r="N87" i="7"/>
  <c r="R9" i="7"/>
  <c r="L87" i="7" l="1"/>
  <c r="S9" i="7"/>
  <c r="T9" i="7" s="1"/>
  <c r="N88" i="7"/>
  <c r="M88" i="7"/>
  <c r="O88" i="7" s="1"/>
  <c r="L88" i="7" l="1"/>
  <c r="N89" i="7"/>
  <c r="M89" i="7"/>
  <c r="L89" i="7" l="1"/>
  <c r="O89" i="7"/>
  <c r="N90" i="7" s="1"/>
  <c r="M90" i="7" l="1"/>
  <c r="O90" i="7" s="1"/>
  <c r="M91" i="7" s="1"/>
  <c r="O91" i="7" s="1"/>
  <c r="N91" i="7" l="1"/>
  <c r="L91" i="7" s="1"/>
  <c r="L90" i="7"/>
  <c r="N92" i="7"/>
  <c r="M92" i="7"/>
  <c r="O92" i="7" s="1"/>
  <c r="L92" i="7" l="1"/>
  <c r="N93" i="7"/>
  <c r="M93" i="7"/>
  <c r="O93" i="7" s="1"/>
  <c r="L93" i="7" l="1"/>
  <c r="N94" i="7"/>
  <c r="M94" i="7"/>
  <c r="L94" i="7" l="1"/>
  <c r="O94" i="7"/>
  <c r="N95" i="7" l="1"/>
  <c r="M95" i="7"/>
  <c r="O95" i="7" s="1"/>
  <c r="L95" i="7" l="1"/>
  <c r="M96" i="7"/>
  <c r="O96" i="7" s="1"/>
  <c r="N96" i="7"/>
  <c r="L96" i="7" l="1"/>
  <c r="M97" i="7"/>
  <c r="O97" i="7" s="1"/>
  <c r="N97" i="7"/>
  <c r="L97" i="7" l="1"/>
  <c r="N98" i="7"/>
  <c r="M98" i="7"/>
  <c r="O98" i="7" s="1"/>
  <c r="L98" i="7" l="1"/>
  <c r="U10" i="7" s="1"/>
  <c r="N99" i="7"/>
  <c r="M99" i="7"/>
  <c r="O99" i="7" s="1"/>
  <c r="R10" i="7"/>
  <c r="L99" i="7" l="1"/>
  <c r="M100" i="7"/>
  <c r="O100" i="7" s="1"/>
  <c r="N100" i="7"/>
  <c r="S10" i="7"/>
  <c r="T10" i="7" s="1"/>
  <c r="L100" i="7" l="1"/>
  <c r="M101" i="7"/>
  <c r="O101" i="7" s="1"/>
  <c r="N101" i="7"/>
  <c r="L101" i="7" l="1"/>
  <c r="N102" i="7"/>
  <c r="M102" i="7"/>
  <c r="O102" i="7" s="1"/>
  <c r="L102" i="7" l="1"/>
  <c r="N103" i="7"/>
  <c r="M103" i="7"/>
  <c r="O103" i="7" s="1"/>
  <c r="M104" i="7" l="1"/>
  <c r="O104" i="7" s="1"/>
  <c r="N104" i="7"/>
  <c r="L103" i="7"/>
  <c r="L104" i="7" l="1"/>
  <c r="N105" i="7"/>
  <c r="M105" i="7"/>
  <c r="O105" i="7" s="1"/>
  <c r="N106" i="7" l="1"/>
  <c r="M106" i="7"/>
  <c r="O106" i="7" s="1"/>
  <c r="L105" i="7"/>
  <c r="L106" i="7" l="1"/>
  <c r="N107" i="7"/>
  <c r="M107" i="7"/>
  <c r="O107" i="7" s="1"/>
  <c r="L107" i="7" l="1"/>
  <c r="N108" i="7"/>
  <c r="M108" i="7"/>
  <c r="O108" i="7" s="1"/>
  <c r="L108" i="7" l="1"/>
  <c r="M109" i="7"/>
  <c r="N109" i="7"/>
  <c r="O109" i="7"/>
  <c r="L109" i="7" l="1"/>
  <c r="N110" i="7"/>
  <c r="M110" i="7"/>
  <c r="O110" i="7" s="1"/>
  <c r="L110" i="7" l="1"/>
  <c r="U11" i="7" s="1"/>
  <c r="N111" i="7"/>
  <c r="M111" i="7"/>
  <c r="O111" i="7" s="1"/>
  <c r="R11" i="7"/>
  <c r="L111" i="7" l="1"/>
  <c r="S11" i="7"/>
  <c r="T11" i="7" s="1"/>
  <c r="M112" i="7"/>
  <c r="O112" i="7" s="1"/>
  <c r="N112" i="7"/>
  <c r="L112" i="7" l="1"/>
  <c r="N113" i="7"/>
  <c r="M113" i="7"/>
  <c r="O113" i="7" s="1"/>
  <c r="L113" i="7" l="1"/>
  <c r="N114" i="7"/>
  <c r="M114" i="7"/>
  <c r="O114" i="7" s="1"/>
  <c r="L114" i="7" l="1"/>
  <c r="N115" i="7"/>
  <c r="M115" i="7"/>
  <c r="O115" i="7" s="1"/>
  <c r="M116" i="7" l="1"/>
  <c r="O116" i="7" s="1"/>
  <c r="N116" i="7"/>
  <c r="L115" i="7"/>
  <c r="L116" i="7" l="1"/>
  <c r="N117" i="7"/>
  <c r="M117" i="7"/>
  <c r="O117" i="7" s="1"/>
  <c r="L117" i="7" l="1"/>
  <c r="M118" i="7"/>
  <c r="O118" i="7" s="1"/>
  <c r="N118" i="7"/>
  <c r="L118" i="7" l="1"/>
  <c r="N119" i="7"/>
  <c r="M119" i="7"/>
  <c r="O119" i="7" s="1"/>
  <c r="L119" i="7" l="1"/>
  <c r="N120" i="7"/>
  <c r="M120" i="7"/>
  <c r="O120" i="7" s="1"/>
  <c r="L120" i="7" l="1"/>
  <c r="M121" i="7"/>
  <c r="O121" i="7" s="1"/>
  <c r="N121" i="7"/>
  <c r="L121" i="7" l="1"/>
  <c r="M122" i="7"/>
  <c r="O122" i="7" s="1"/>
  <c r="N122" i="7"/>
  <c r="L122" i="7" l="1"/>
  <c r="U12" i="7" s="1"/>
  <c r="N123" i="7"/>
  <c r="R12" i="7"/>
  <c r="M123" i="7"/>
  <c r="O123" i="7" s="1"/>
  <c r="M124" i="7" l="1"/>
  <c r="O124" i="7" s="1"/>
  <c r="N124" i="7"/>
  <c r="S12" i="7"/>
  <c r="T12" i="7" s="1"/>
  <c r="L123" i="7"/>
  <c r="L124" i="7" l="1"/>
  <c r="M125" i="7"/>
  <c r="O125" i="7" s="1"/>
  <c r="N125" i="7"/>
  <c r="L125" i="7" l="1"/>
  <c r="N126" i="7"/>
  <c r="M126" i="7"/>
  <c r="O126" i="7" s="1"/>
  <c r="L126" i="7" l="1"/>
  <c r="N127" i="7"/>
  <c r="M127" i="7"/>
  <c r="L127" i="7" l="1"/>
  <c r="O127" i="7"/>
  <c r="N128" i="7" s="1"/>
  <c r="M128" i="7" l="1"/>
  <c r="O128" i="7" s="1"/>
  <c r="N129" i="7" s="1"/>
  <c r="M129" i="7" l="1"/>
  <c r="O129" i="7" s="1"/>
  <c r="N130" i="7" s="1"/>
  <c r="L128" i="7"/>
  <c r="M130" i="7" l="1"/>
  <c r="L130" i="7" s="1"/>
  <c r="L129" i="7"/>
  <c r="O130" i="7" l="1"/>
  <c r="N131" i="7" s="1"/>
  <c r="M131" i="7" l="1"/>
  <c r="O131" i="7" s="1"/>
  <c r="N132" i="7" s="1"/>
  <c r="L131" i="7" l="1"/>
  <c r="M132" i="7"/>
  <c r="O132" i="7" s="1"/>
  <c r="N133" i="7" s="1"/>
  <c r="L132" i="7" l="1"/>
  <c r="M133" i="7"/>
  <c r="O133" i="7" s="1"/>
  <c r="N134" i="7" s="1"/>
  <c r="M134" i="7" l="1"/>
  <c r="O134" i="7" s="1"/>
  <c r="M135" i="7" s="1"/>
  <c r="O135" i="7" s="1"/>
  <c r="M136" i="7" s="1"/>
  <c r="O136" i="7" s="1"/>
  <c r="L133" i="7"/>
  <c r="R13" i="7" l="1"/>
  <c r="S13" i="7" s="1"/>
  <c r="T13" i="7" s="1"/>
  <c r="N135" i="7"/>
  <c r="L135" i="7" s="1"/>
  <c r="N136" i="7"/>
  <c r="L136" i="7" s="1"/>
  <c r="L134" i="7"/>
  <c r="U13" i="7" s="1"/>
  <c r="N137" i="7"/>
  <c r="M137" i="7"/>
  <c r="O137" i="7" s="1"/>
  <c r="L137" i="7" l="1"/>
  <c r="N138" i="7"/>
  <c r="M138" i="7"/>
  <c r="O138" i="7" s="1"/>
  <c r="M139" i="7" l="1"/>
  <c r="O139" i="7" s="1"/>
  <c r="N139" i="7"/>
  <c r="L138" i="7"/>
  <c r="L139" i="7" l="1"/>
  <c r="N140" i="7"/>
  <c r="M140" i="7"/>
  <c r="O140" i="7" s="1"/>
  <c r="N141" i="7" l="1"/>
  <c r="M141" i="7"/>
  <c r="O141" i="7" s="1"/>
  <c r="L140" i="7"/>
  <c r="M142" i="7" l="1"/>
  <c r="O142" i="7" s="1"/>
  <c r="N142" i="7"/>
  <c r="L141" i="7"/>
  <c r="L142" i="7" l="1"/>
  <c r="N143" i="7"/>
  <c r="M143" i="7"/>
  <c r="O143" i="7" s="1"/>
  <c r="L143" i="7" l="1"/>
  <c r="N144" i="7"/>
  <c r="M144" i="7"/>
  <c r="O144" i="7" s="1"/>
  <c r="L144" i="7" l="1"/>
  <c r="N145" i="7"/>
  <c r="M145" i="7"/>
  <c r="O145" i="7" s="1"/>
  <c r="L145" i="7" l="1"/>
  <c r="N146" i="7"/>
  <c r="M146" i="7"/>
  <c r="O146" i="7" s="1"/>
  <c r="L146" i="7" l="1"/>
  <c r="U14" i="7"/>
  <c r="R14" i="7"/>
  <c r="N147" i="7"/>
  <c r="M147" i="7"/>
  <c r="O147" i="7" s="1"/>
  <c r="N148" i="7" l="1"/>
  <c r="M148" i="7"/>
  <c r="O148" i="7" s="1"/>
  <c r="L147" i="7"/>
  <c r="S14" i="7"/>
  <c r="T14" i="7" s="1"/>
  <c r="N149" i="7" l="1"/>
  <c r="M149" i="7"/>
  <c r="O149" i="7" s="1"/>
  <c r="L148" i="7"/>
  <c r="L149" i="7" l="1"/>
  <c r="N150" i="7"/>
  <c r="M150" i="7"/>
  <c r="O150" i="7" s="1"/>
  <c r="L150" i="7" l="1"/>
  <c r="M151" i="7"/>
  <c r="O151" i="7" s="1"/>
  <c r="N151" i="7"/>
  <c r="L151" i="7" l="1"/>
  <c r="N152" i="7"/>
  <c r="M152" i="7"/>
  <c r="O152" i="7" s="1"/>
  <c r="L152" i="7" l="1"/>
  <c r="N153" i="7"/>
  <c r="M153" i="7"/>
  <c r="O153" i="7" s="1"/>
  <c r="N154" i="7" l="1"/>
  <c r="M154" i="7"/>
  <c r="O154" i="7" s="1"/>
  <c r="L153" i="7"/>
  <c r="L154" i="7" l="1"/>
  <c r="N155" i="7"/>
  <c r="M155" i="7"/>
  <c r="O155" i="7" s="1"/>
  <c r="L155" i="7" l="1"/>
  <c r="N156" i="7"/>
  <c r="M156" i="7"/>
  <c r="O156" i="7" s="1"/>
  <c r="L156" i="7" l="1"/>
  <c r="M157" i="7"/>
  <c r="O157" i="7" s="1"/>
  <c r="N157" i="7"/>
  <c r="L157" i="7" l="1"/>
  <c r="N158" i="7"/>
  <c r="M158" i="7"/>
  <c r="O158" i="7" s="1"/>
  <c r="L158" i="7" l="1"/>
  <c r="U15" i="7" s="1"/>
  <c r="N159" i="7"/>
  <c r="R15" i="7"/>
  <c r="M159" i="7"/>
  <c r="O159" i="7" s="1"/>
  <c r="L159" i="7" l="1"/>
  <c r="M160" i="7"/>
  <c r="O160" i="7" s="1"/>
  <c r="N160" i="7"/>
  <c r="S15" i="7"/>
  <c r="L160" i="7" l="1"/>
  <c r="S51" i="7"/>
  <c r="S40" i="7"/>
  <c r="S46" i="7"/>
  <c r="S49" i="7"/>
  <c r="S22" i="7"/>
  <c r="S30" i="7"/>
  <c r="S23" i="7"/>
  <c r="S26" i="7"/>
  <c r="S29" i="7"/>
  <c r="S18" i="7"/>
  <c r="S34" i="7"/>
  <c r="S19" i="7"/>
  <c r="S24" i="7"/>
  <c r="S48" i="7"/>
  <c r="S43" i="7"/>
  <c r="S42" i="7"/>
  <c r="S52" i="7"/>
  <c r="S25" i="7"/>
  <c r="S45" i="7"/>
  <c r="T15" i="7"/>
  <c r="S28" i="7"/>
  <c r="S39" i="7"/>
  <c r="S27" i="7"/>
  <c r="S44" i="7"/>
  <c r="S16" i="7"/>
  <c r="S17" i="7"/>
  <c r="S31" i="7"/>
  <c r="S47" i="7"/>
  <c r="S36" i="7"/>
  <c r="S21" i="7"/>
  <c r="S35" i="7"/>
  <c r="S38" i="7"/>
  <c r="S50" i="7"/>
  <c r="S32" i="7"/>
  <c r="S33" i="7"/>
  <c r="S37" i="7"/>
  <c r="S20" i="7"/>
  <c r="S41" i="7"/>
  <c r="M161" i="7"/>
  <c r="O161" i="7" s="1"/>
  <c r="N161" i="7"/>
  <c r="L161" i="7" l="1"/>
  <c r="T22" i="7"/>
  <c r="T21" i="7"/>
  <c r="T43" i="7"/>
  <c r="T41" i="7"/>
  <c r="T36" i="7"/>
  <c r="T16" i="7"/>
  <c r="T24" i="7"/>
  <c r="T20" i="7"/>
  <c r="T45" i="7"/>
  <c r="T35" i="7"/>
  <c r="T51" i="7"/>
  <c r="T52" i="7"/>
  <c r="T47" i="7"/>
  <c r="T30" i="7"/>
  <c r="T25" i="7"/>
  <c r="T48" i="7"/>
  <c r="T26" i="7"/>
  <c r="T23" i="7"/>
  <c r="T44" i="7"/>
  <c r="T32" i="7"/>
  <c r="T31" i="7"/>
  <c r="T17" i="7"/>
  <c r="T49" i="7"/>
  <c r="T18" i="7"/>
  <c r="T39" i="7"/>
  <c r="T38" i="7"/>
  <c r="T46" i="7"/>
  <c r="T28" i="7"/>
  <c r="T42" i="7"/>
  <c r="T37" i="7"/>
  <c r="T50" i="7"/>
  <c r="T33" i="7"/>
  <c r="T29" i="7"/>
  <c r="T27" i="7"/>
  <c r="T40" i="7"/>
  <c r="T34" i="7"/>
  <c r="T19" i="7"/>
  <c r="N162" i="7"/>
  <c r="M162" i="7"/>
  <c r="O162" i="7" s="1"/>
  <c r="E9" i="7" l="1"/>
  <c r="E702" i="7"/>
  <c r="E597" i="7"/>
  <c r="E219" i="7"/>
  <c r="E660" i="7"/>
  <c r="E891" i="7"/>
  <c r="E429" i="7"/>
  <c r="E198" i="7"/>
  <c r="E156" i="7"/>
  <c r="E282" i="7"/>
  <c r="E849" i="7"/>
  <c r="E807" i="7"/>
  <c r="E618" i="7"/>
  <c r="E471" i="7"/>
  <c r="E261" i="7"/>
  <c r="E408" i="7"/>
  <c r="E51" i="7"/>
  <c r="E534" i="7"/>
  <c r="E93" i="7"/>
  <c r="E555" i="7"/>
  <c r="E135" i="7"/>
  <c r="E744" i="7"/>
  <c r="E828" i="7"/>
  <c r="E1038" i="7"/>
  <c r="E324" i="7"/>
  <c r="E1017" i="7"/>
  <c r="E303" i="7"/>
  <c r="E366" i="7"/>
  <c r="E450" i="7"/>
  <c r="E345" i="7"/>
  <c r="E786" i="7"/>
  <c r="E765" i="7"/>
  <c r="E870" i="7"/>
  <c r="E996" i="7"/>
  <c r="E912" i="7"/>
  <c r="E975" i="7"/>
  <c r="E30" i="7"/>
  <c r="E681" i="7"/>
  <c r="E114" i="7"/>
  <c r="E723" i="7"/>
  <c r="E933" i="7"/>
  <c r="E240" i="7"/>
  <c r="E387" i="7"/>
  <c r="E513" i="7"/>
  <c r="E72" i="7"/>
  <c r="E639" i="7"/>
  <c r="E492" i="7"/>
  <c r="E177" i="7"/>
  <c r="E954" i="7"/>
  <c r="E576" i="7"/>
  <c r="L162" i="7"/>
  <c r="N163" i="7"/>
  <c r="M163" i="7"/>
  <c r="O163" i="7" s="1"/>
  <c r="N164" i="7" l="1"/>
  <c r="M164" i="7"/>
  <c r="O164" i="7" s="1"/>
  <c r="L163" i="7"/>
  <c r="L164" i="7" l="1"/>
  <c r="M165" i="7"/>
  <c r="O165" i="7" s="1"/>
  <c r="N165" i="7"/>
  <c r="L165" i="7" l="1"/>
  <c r="M166" i="7"/>
  <c r="O166" i="7" s="1"/>
  <c r="N166" i="7"/>
  <c r="L166" i="7" l="1"/>
  <c r="M167" i="7"/>
  <c r="O167" i="7" s="1"/>
  <c r="N167" i="7"/>
  <c r="L167" i="7" l="1"/>
  <c r="N168" i="7"/>
  <c r="M168" i="7"/>
  <c r="O168" i="7" s="1"/>
  <c r="L168" i="7" l="1"/>
  <c r="M169" i="7"/>
  <c r="O169" i="7" s="1"/>
  <c r="N169" i="7"/>
  <c r="L169" i="7" l="1"/>
  <c r="M170" i="7"/>
  <c r="O170" i="7" s="1"/>
  <c r="N170" i="7"/>
  <c r="N171" i="7" l="1"/>
  <c r="M171" i="7"/>
  <c r="R16" i="7"/>
  <c r="O171" i="7"/>
  <c r="M172" i="7" s="1"/>
  <c r="O172" i="7" s="1"/>
  <c r="L170" i="7"/>
  <c r="U16" i="7" s="1"/>
  <c r="L171" i="7" l="1"/>
  <c r="N172" i="7"/>
  <c r="L172" i="7" s="1"/>
  <c r="M173" i="7"/>
  <c r="O173" i="7" s="1"/>
  <c r="N173" i="7"/>
  <c r="L173" i="7" l="1"/>
  <c r="N174" i="7"/>
  <c r="M174" i="7"/>
  <c r="L174" i="7" l="1"/>
  <c r="O174" i="7"/>
  <c r="N175" i="7" l="1"/>
  <c r="M175" i="7"/>
  <c r="O175" i="7" s="1"/>
  <c r="M176" i="7" l="1"/>
  <c r="O176" i="7" s="1"/>
  <c r="N176" i="7"/>
  <c r="L175" i="7"/>
  <c r="L176" i="7" l="1"/>
  <c r="N177" i="7"/>
  <c r="M177" i="7"/>
  <c r="L177" i="7" l="1"/>
  <c r="O177" i="7"/>
  <c r="N178" i="7" l="1"/>
  <c r="M178" i="7"/>
  <c r="O178" i="7" s="1"/>
  <c r="L178" i="7" l="1"/>
  <c r="M179" i="7"/>
  <c r="O179" i="7" s="1"/>
  <c r="N179" i="7"/>
  <c r="L179" i="7" l="1"/>
  <c r="N180" i="7"/>
  <c r="M180" i="7"/>
  <c r="L180" i="7" l="1"/>
  <c r="O180" i="7"/>
  <c r="N181" i="7" l="1"/>
  <c r="M181" i="7"/>
  <c r="L181" i="7" l="1"/>
  <c r="O181" i="7"/>
  <c r="M182" i="7" l="1"/>
  <c r="O182" i="7" s="1"/>
  <c r="N182" i="7"/>
  <c r="L182" i="7" l="1"/>
  <c r="U17" i="7" s="1"/>
  <c r="N183" i="7"/>
  <c r="M183" i="7"/>
  <c r="R17" i="7"/>
  <c r="L183" i="7" l="1"/>
  <c r="O183" i="7"/>
  <c r="N184" i="7" l="1"/>
  <c r="M184" i="7"/>
  <c r="O184" i="7" s="1"/>
  <c r="L184" i="7" l="1"/>
  <c r="M185" i="7"/>
  <c r="O185" i="7" s="1"/>
  <c r="N185" i="7"/>
  <c r="N186" i="7" l="1"/>
  <c r="M186" i="7"/>
  <c r="L185" i="7"/>
  <c r="L186" i="7" l="1"/>
  <c r="O186" i="7"/>
  <c r="N187" i="7" l="1"/>
  <c r="M187" i="7"/>
  <c r="O187" i="7" s="1"/>
  <c r="M188" i="7" l="1"/>
  <c r="O188" i="7" s="1"/>
  <c r="N188" i="7"/>
  <c r="L187" i="7"/>
  <c r="L188" i="7" l="1"/>
  <c r="N189" i="7"/>
  <c r="M189" i="7"/>
  <c r="L189" i="7" l="1"/>
  <c r="O189" i="7"/>
  <c r="N190" i="7" l="1"/>
  <c r="M190" i="7"/>
  <c r="O190" i="7" s="1"/>
  <c r="M191" i="7" l="1"/>
  <c r="O191" i="7" s="1"/>
  <c r="N191" i="7"/>
  <c r="L190" i="7"/>
  <c r="N192" i="7" l="1"/>
  <c r="M192" i="7"/>
  <c r="L191" i="7"/>
  <c r="L192" i="7" l="1"/>
  <c r="O192" i="7"/>
  <c r="N193" i="7" l="1"/>
  <c r="M193" i="7"/>
  <c r="O193" i="7" s="1"/>
  <c r="L193" i="7" l="1"/>
  <c r="M194" i="7"/>
  <c r="O194" i="7" s="1"/>
  <c r="N194" i="7"/>
  <c r="L194" i="7" l="1"/>
  <c r="U18" i="7" s="1"/>
  <c r="N195" i="7"/>
  <c r="M195" i="7"/>
  <c r="R18" i="7"/>
  <c r="L195" i="7" l="1"/>
  <c r="O195" i="7"/>
  <c r="N196" i="7" l="1"/>
  <c r="M196" i="7"/>
  <c r="O196" i="7" s="1"/>
  <c r="M197" i="7" l="1"/>
  <c r="O197" i="7" s="1"/>
  <c r="N197" i="7"/>
  <c r="L196" i="7"/>
  <c r="L197" i="7" l="1"/>
  <c r="N198" i="7"/>
  <c r="M198" i="7"/>
  <c r="L198" i="7" l="1"/>
  <c r="O198" i="7"/>
  <c r="N199" i="7" s="1"/>
  <c r="M199" i="7" l="1"/>
  <c r="O199" i="7" s="1"/>
  <c r="M200" i="7" s="1"/>
  <c r="O200" i="7" s="1"/>
  <c r="L199" i="7" l="1"/>
  <c r="N200" i="7"/>
  <c r="L200" i="7" s="1"/>
  <c r="N201" i="7"/>
  <c r="M201" i="7"/>
  <c r="O201" i="7" s="1"/>
  <c r="N202" i="7" l="1"/>
  <c r="M202" i="7"/>
  <c r="O202" i="7" s="1"/>
  <c r="L201" i="7"/>
  <c r="M203" i="7" l="1"/>
  <c r="O203" i="7" s="1"/>
  <c r="N203" i="7"/>
  <c r="L202" i="7"/>
  <c r="L203" i="7" l="1"/>
  <c r="N204" i="7"/>
  <c r="M204" i="7"/>
  <c r="O204" i="7" s="1"/>
  <c r="N205" i="7" l="1"/>
  <c r="M205" i="7"/>
  <c r="O205" i="7" s="1"/>
  <c r="L204" i="7"/>
  <c r="M206" i="7" l="1"/>
  <c r="O206" i="7" s="1"/>
  <c r="N206" i="7"/>
  <c r="L205" i="7"/>
  <c r="L206" i="7" l="1"/>
  <c r="U19" i="7" s="1"/>
  <c r="N207" i="7"/>
  <c r="M207" i="7"/>
  <c r="R19" i="7"/>
  <c r="L207" i="7" l="1"/>
  <c r="O207" i="7"/>
  <c r="N208" i="7" l="1"/>
  <c r="M208" i="7"/>
  <c r="O208" i="7" s="1"/>
  <c r="M209" i="7" l="1"/>
  <c r="O209" i="7" s="1"/>
  <c r="N209" i="7"/>
  <c r="L208" i="7"/>
  <c r="L209" i="7" l="1"/>
  <c r="N210" i="7"/>
  <c r="M210" i="7"/>
  <c r="L210" i="7" s="1"/>
  <c r="O210" i="7" l="1"/>
  <c r="N211" i="7" l="1"/>
  <c r="M211" i="7"/>
  <c r="O211" i="7" s="1"/>
  <c r="M212" i="7" l="1"/>
  <c r="O212" i="7" s="1"/>
  <c r="N212" i="7"/>
  <c r="L211" i="7"/>
  <c r="N213" i="7" l="1"/>
  <c r="M213" i="7"/>
  <c r="L212" i="7"/>
  <c r="L213" i="7" l="1"/>
  <c r="O213" i="7"/>
  <c r="N214" i="7" l="1"/>
  <c r="M214" i="7"/>
  <c r="O214" i="7" s="1"/>
  <c r="L214" i="7" l="1"/>
  <c r="M215" i="7"/>
  <c r="O215" i="7" s="1"/>
  <c r="N215" i="7"/>
  <c r="N216" i="7" l="1"/>
  <c r="M216" i="7"/>
  <c r="L215" i="7"/>
  <c r="L216" i="7" l="1"/>
  <c r="O216" i="7"/>
  <c r="N217" i="7" l="1"/>
  <c r="M217" i="7"/>
  <c r="O217" i="7" s="1"/>
  <c r="L217" i="7" l="1"/>
  <c r="M218" i="7"/>
  <c r="O218" i="7" s="1"/>
  <c r="N218" i="7"/>
  <c r="L218" i="7" l="1"/>
  <c r="U20" i="7" s="1"/>
  <c r="N219" i="7"/>
  <c r="M219" i="7"/>
  <c r="O219" i="7" s="1"/>
  <c r="R20" i="7"/>
  <c r="N220" i="7" l="1"/>
  <c r="M220" i="7"/>
  <c r="O220" i="7" s="1"/>
  <c r="L219" i="7"/>
  <c r="M221" i="7" l="1"/>
  <c r="O221" i="7" s="1"/>
  <c r="N221" i="7"/>
  <c r="L220" i="7"/>
  <c r="L221" i="7" l="1"/>
  <c r="N222" i="7"/>
  <c r="M222" i="7"/>
  <c r="L222" i="7" l="1"/>
  <c r="O222" i="7"/>
  <c r="N223" i="7" s="1"/>
  <c r="M223" i="7" l="1"/>
  <c r="O223" i="7" s="1"/>
  <c r="M224" i="7" s="1"/>
  <c r="O224" i="7" s="1"/>
  <c r="N224" i="7" l="1"/>
  <c r="L224" i="7" s="1"/>
  <c r="L223" i="7"/>
  <c r="N225" i="7"/>
  <c r="M225" i="7"/>
  <c r="L225" i="7" l="1"/>
  <c r="O225" i="7"/>
  <c r="N226" i="7" l="1"/>
  <c r="M226" i="7"/>
  <c r="O226" i="7" s="1"/>
  <c r="M227" i="7" l="1"/>
  <c r="O227" i="7" s="1"/>
  <c r="N227" i="7"/>
  <c r="L226" i="7"/>
  <c r="L227" i="7" l="1"/>
  <c r="N228" i="7"/>
  <c r="M228" i="7"/>
  <c r="L228" i="7" l="1"/>
  <c r="O228" i="7"/>
  <c r="N229" i="7" s="1"/>
  <c r="M229" i="7" l="1"/>
  <c r="O229" i="7" s="1"/>
  <c r="M230" i="7" s="1"/>
  <c r="O230" i="7" s="1"/>
  <c r="L229" i="7" l="1"/>
  <c r="N230" i="7"/>
  <c r="L230" i="7" s="1"/>
  <c r="U21" i="7" s="1"/>
  <c r="N231" i="7"/>
  <c r="R21" i="7"/>
  <c r="M231" i="7"/>
  <c r="L231" i="7" l="1"/>
  <c r="O231" i="7"/>
  <c r="N232" i="7" l="1"/>
  <c r="M232" i="7"/>
  <c r="O232" i="7" s="1"/>
  <c r="L232" i="7" l="1"/>
  <c r="M233" i="7"/>
  <c r="O233" i="7" s="1"/>
  <c r="N233" i="7"/>
  <c r="N234" i="7" l="1"/>
  <c r="M234" i="7"/>
  <c r="O234" i="7" s="1"/>
  <c r="L233" i="7"/>
  <c r="N235" i="7" l="1"/>
  <c r="M235" i="7"/>
  <c r="O235" i="7" s="1"/>
  <c r="L234" i="7"/>
  <c r="M236" i="7" l="1"/>
  <c r="O236" i="7" s="1"/>
  <c r="N236" i="7"/>
  <c r="L235" i="7"/>
  <c r="L236" i="7" l="1"/>
  <c r="N237" i="7"/>
  <c r="M237" i="7"/>
  <c r="O237" i="7" s="1"/>
  <c r="N238" i="7" l="1"/>
  <c r="M238" i="7"/>
  <c r="O238" i="7" s="1"/>
  <c r="L237" i="7"/>
  <c r="M239" i="7" l="1"/>
  <c r="O239" i="7" s="1"/>
  <c r="N239" i="7"/>
  <c r="L238" i="7"/>
  <c r="L239" i="7" l="1"/>
  <c r="N240" i="7"/>
  <c r="M240" i="7"/>
  <c r="O240" i="7" s="1"/>
  <c r="N241" i="7" l="1"/>
  <c r="M241" i="7"/>
  <c r="O241" i="7" s="1"/>
  <c r="L240" i="7"/>
  <c r="M242" i="7" l="1"/>
  <c r="O242" i="7" s="1"/>
  <c r="N242" i="7"/>
  <c r="L241" i="7"/>
  <c r="L242" i="7" l="1"/>
  <c r="U22" i="7" s="1"/>
  <c r="N243" i="7"/>
  <c r="R22" i="7"/>
  <c r="M243" i="7"/>
  <c r="L243" i="7" l="1"/>
  <c r="O243" i="7"/>
  <c r="N244" i="7" l="1"/>
  <c r="M244" i="7"/>
  <c r="O244" i="7" s="1"/>
  <c r="L244" i="7" l="1"/>
  <c r="M245" i="7"/>
  <c r="O245" i="7" s="1"/>
  <c r="N245" i="7"/>
  <c r="L245" i="7" l="1"/>
  <c r="N246" i="7"/>
  <c r="M246" i="7"/>
  <c r="O246" i="7" s="1"/>
  <c r="N247" i="7" l="1"/>
  <c r="M247" i="7"/>
  <c r="O247" i="7" s="1"/>
  <c r="L246" i="7"/>
  <c r="M248" i="7" l="1"/>
  <c r="O248" i="7" s="1"/>
  <c r="N248" i="7"/>
  <c r="L247" i="7"/>
  <c r="L248" i="7" l="1"/>
  <c r="N249" i="7"/>
  <c r="M249" i="7"/>
  <c r="O249" i="7" s="1"/>
  <c r="N250" i="7" l="1"/>
  <c r="M250" i="7"/>
  <c r="O250" i="7" s="1"/>
  <c r="L249" i="7"/>
  <c r="M251" i="7" l="1"/>
  <c r="O251" i="7" s="1"/>
  <c r="N251" i="7"/>
  <c r="L250" i="7"/>
  <c r="L251" i="7" l="1"/>
  <c r="N252" i="7"/>
  <c r="M252" i="7"/>
  <c r="L252" i="7" s="1"/>
  <c r="O252" i="7" l="1"/>
  <c r="N253" i="7" l="1"/>
  <c r="M253" i="7"/>
  <c r="O253" i="7" s="1"/>
  <c r="L253" i="7" l="1"/>
  <c r="M254" i="7"/>
  <c r="O254" i="7" s="1"/>
  <c r="N254" i="7"/>
  <c r="L254" i="7" l="1"/>
  <c r="U23" i="7" s="1"/>
  <c r="N255" i="7"/>
  <c r="M255" i="7"/>
  <c r="R23" i="7"/>
  <c r="L255" i="7" l="1"/>
  <c r="O255" i="7"/>
  <c r="N256" i="7" s="1"/>
  <c r="M256" i="7" l="1"/>
  <c r="O256" i="7" s="1"/>
  <c r="M257" i="7" s="1"/>
  <c r="O257" i="7" s="1"/>
  <c r="N257" i="7" l="1"/>
  <c r="L257" i="7" s="1"/>
  <c r="L256" i="7"/>
  <c r="N258" i="7"/>
  <c r="M258" i="7"/>
  <c r="L258" i="7" l="1"/>
  <c r="O258" i="7"/>
  <c r="N259" i="7" l="1"/>
  <c r="M259" i="7"/>
  <c r="O259" i="7" s="1"/>
  <c r="L259" i="7" l="1"/>
  <c r="M260" i="7"/>
  <c r="O260" i="7" s="1"/>
  <c r="N260" i="7"/>
  <c r="N261" i="7" l="1"/>
  <c r="M261" i="7"/>
  <c r="L260" i="7"/>
  <c r="L261" i="7" l="1"/>
  <c r="O261" i="7"/>
  <c r="N262" i="7" s="1"/>
  <c r="M262" i="7" l="1"/>
  <c r="O262" i="7" s="1"/>
  <c r="M263" i="7" s="1"/>
  <c r="O263" i="7" s="1"/>
  <c r="L262" i="7" l="1"/>
  <c r="N263" i="7"/>
  <c r="L263" i="7" s="1"/>
  <c r="N264" i="7"/>
  <c r="M264" i="7"/>
  <c r="L264" i="7" l="1"/>
  <c r="O264" i="7"/>
  <c r="N265" i="7" s="1"/>
  <c r="M265" i="7" l="1"/>
  <c r="O265" i="7" s="1"/>
  <c r="M266" i="7" s="1"/>
  <c r="O266" i="7" s="1"/>
  <c r="L265" i="7" l="1"/>
  <c r="N266" i="7"/>
  <c r="L266" i="7" s="1"/>
  <c r="U24" i="7" s="1"/>
  <c r="N267" i="7"/>
  <c r="M267" i="7"/>
  <c r="O267" i="7" s="1"/>
  <c r="R24" i="7"/>
  <c r="L267" i="7" l="1"/>
  <c r="N268" i="7"/>
  <c r="M268" i="7"/>
  <c r="O268" i="7" s="1"/>
  <c r="M269" i="7" l="1"/>
  <c r="O269" i="7" s="1"/>
  <c r="N269" i="7"/>
  <c r="L268" i="7"/>
  <c r="L269" i="7" l="1"/>
  <c r="N270" i="7"/>
  <c r="M270" i="7"/>
  <c r="L270" i="7" l="1"/>
  <c r="O270" i="7"/>
  <c r="N271" i="7" l="1"/>
  <c r="M271" i="7"/>
  <c r="O271" i="7" s="1"/>
  <c r="M272" i="7" l="1"/>
  <c r="O272" i="7" s="1"/>
  <c r="N272" i="7"/>
  <c r="L271" i="7"/>
  <c r="L272" i="7" l="1"/>
  <c r="N273" i="7"/>
  <c r="M273" i="7"/>
  <c r="L273" i="7" l="1"/>
  <c r="O273" i="7"/>
  <c r="N274" i="7" s="1"/>
  <c r="M274" i="7" l="1"/>
  <c r="O274" i="7" s="1"/>
  <c r="M275" i="7" s="1"/>
  <c r="O275" i="7" s="1"/>
  <c r="L274" i="7" l="1"/>
  <c r="N275" i="7"/>
  <c r="L275" i="7" s="1"/>
  <c r="N276" i="7"/>
  <c r="M276" i="7"/>
  <c r="L276" i="7" l="1"/>
  <c r="O276" i="7"/>
  <c r="N277" i="7" l="1"/>
  <c r="M277" i="7"/>
  <c r="O277" i="7" s="1"/>
  <c r="M278" i="7" l="1"/>
  <c r="O278" i="7" s="1"/>
  <c r="N278" i="7"/>
  <c r="L277" i="7"/>
  <c r="L278" i="7" l="1"/>
  <c r="U25" i="7" s="1"/>
  <c r="N279" i="7"/>
  <c r="R25" i="7"/>
  <c r="M279" i="7"/>
  <c r="O279" i="7" s="1"/>
  <c r="N280" i="7" l="1"/>
  <c r="M280" i="7"/>
  <c r="O280" i="7" s="1"/>
  <c r="L279" i="7"/>
  <c r="M281" i="7" l="1"/>
  <c r="O281" i="7" s="1"/>
  <c r="N281" i="7"/>
  <c r="L280" i="7"/>
  <c r="L281" i="7" l="1"/>
  <c r="N282" i="7"/>
  <c r="M282" i="7"/>
  <c r="L282" i="7" l="1"/>
  <c r="O282" i="7"/>
  <c r="N283" i="7" l="1"/>
  <c r="M283" i="7"/>
  <c r="O283" i="7" s="1"/>
  <c r="L283" i="7" l="1"/>
  <c r="M284" i="7"/>
  <c r="O284" i="7" s="1"/>
  <c r="N284" i="7"/>
  <c r="L284" i="7" l="1"/>
  <c r="N285" i="7"/>
  <c r="M285" i="7"/>
  <c r="L285" i="7" l="1"/>
  <c r="O285" i="7"/>
  <c r="N286" i="7" l="1"/>
  <c r="M286" i="7"/>
  <c r="O286" i="7" s="1"/>
  <c r="M287" i="7" l="1"/>
  <c r="O287" i="7" s="1"/>
  <c r="N287" i="7"/>
  <c r="L286" i="7"/>
  <c r="L287" i="7" l="1"/>
  <c r="N288" i="7"/>
  <c r="M288" i="7"/>
  <c r="L288" i="7" l="1"/>
  <c r="O288" i="7"/>
  <c r="N289" i="7" l="1"/>
  <c r="M289" i="7"/>
  <c r="O289" i="7" s="1"/>
  <c r="M290" i="7" l="1"/>
  <c r="O290" i="7" s="1"/>
  <c r="N290" i="7"/>
  <c r="L289" i="7"/>
  <c r="L290" i="7" l="1"/>
  <c r="U26" i="7" s="1"/>
  <c r="N291" i="7"/>
  <c r="M291" i="7"/>
  <c r="O291" i="7" s="1"/>
  <c r="R26" i="7"/>
  <c r="N292" i="7" l="1"/>
  <c r="M292" i="7"/>
  <c r="O292" i="7" s="1"/>
  <c r="L291" i="7"/>
  <c r="M293" i="7" l="1"/>
  <c r="O293" i="7" s="1"/>
  <c r="N293" i="7"/>
  <c r="L292" i="7"/>
  <c r="L293" i="7" l="1"/>
  <c r="N294" i="7"/>
  <c r="M294" i="7"/>
  <c r="L294" i="7" l="1"/>
  <c r="O294" i="7"/>
  <c r="N295" i="7" l="1"/>
  <c r="M295" i="7"/>
  <c r="O295" i="7" s="1"/>
  <c r="L295" i="7" l="1"/>
  <c r="M296" i="7"/>
  <c r="O296" i="7" s="1"/>
  <c r="N296" i="7"/>
  <c r="L296" i="7" l="1"/>
  <c r="N297" i="7"/>
  <c r="M297" i="7"/>
  <c r="L297" i="7" l="1"/>
  <c r="O297" i="7"/>
  <c r="N298" i="7" l="1"/>
  <c r="M298" i="7"/>
  <c r="O298" i="7" s="1"/>
  <c r="M299" i="7" l="1"/>
  <c r="O299" i="7" s="1"/>
  <c r="N299" i="7"/>
  <c r="L298" i="7"/>
  <c r="L299" i="7" l="1"/>
  <c r="N300" i="7"/>
  <c r="M300" i="7"/>
  <c r="L300" i="7" l="1"/>
  <c r="O300" i="7"/>
  <c r="N301" i="7" s="1"/>
  <c r="M301" i="7" l="1"/>
  <c r="O301" i="7" s="1"/>
  <c r="M302" i="7" s="1"/>
  <c r="O302" i="7" s="1"/>
  <c r="L301" i="7" l="1"/>
  <c r="N302" i="7"/>
  <c r="L302" i="7" s="1"/>
  <c r="U27" i="7" s="1"/>
  <c r="N303" i="7"/>
  <c r="R27" i="7"/>
  <c r="M303" i="7"/>
  <c r="L303" i="7" l="1"/>
  <c r="O303" i="7"/>
  <c r="N304" i="7" l="1"/>
  <c r="M304" i="7"/>
  <c r="O304" i="7" s="1"/>
  <c r="L304" i="7" l="1"/>
  <c r="M305" i="7"/>
  <c r="O305" i="7" s="1"/>
  <c r="N305" i="7"/>
  <c r="N306" i="7" l="1"/>
  <c r="M306" i="7"/>
  <c r="L305" i="7"/>
  <c r="L306" i="7" l="1"/>
  <c r="O306" i="7"/>
  <c r="N307" i="7" l="1"/>
  <c r="M307" i="7"/>
  <c r="O307" i="7" s="1"/>
  <c r="M308" i="7" l="1"/>
  <c r="O308" i="7" s="1"/>
  <c r="N308" i="7"/>
  <c r="L307" i="7"/>
  <c r="L308" i="7" l="1"/>
  <c r="N309" i="7"/>
  <c r="M309" i="7"/>
  <c r="L309" i="7" l="1"/>
  <c r="O309" i="7"/>
  <c r="N310" i="7" l="1"/>
  <c r="M310" i="7"/>
  <c r="O310" i="7" s="1"/>
  <c r="M311" i="7" l="1"/>
  <c r="O311" i="7" s="1"/>
  <c r="N311" i="7"/>
  <c r="L310" i="7"/>
  <c r="L311" i="7" l="1"/>
  <c r="N312" i="7"/>
  <c r="M312" i="7"/>
  <c r="L312" i="7" l="1"/>
  <c r="O312" i="7"/>
  <c r="N313" i="7" l="1"/>
  <c r="M313" i="7"/>
  <c r="O313" i="7" s="1"/>
  <c r="M314" i="7" l="1"/>
  <c r="O314" i="7" s="1"/>
  <c r="N314" i="7"/>
  <c r="L313" i="7"/>
  <c r="L314" i="7" l="1"/>
  <c r="U28" i="7"/>
  <c r="N315" i="7"/>
  <c r="R28" i="7"/>
  <c r="M315" i="7"/>
  <c r="L315" i="7" l="1"/>
  <c r="O315" i="7"/>
  <c r="N316" i="7" l="1"/>
  <c r="M316" i="7"/>
  <c r="O316" i="7" s="1"/>
  <c r="M317" i="7" l="1"/>
  <c r="O317" i="7" s="1"/>
  <c r="N317" i="7"/>
  <c r="L316" i="7"/>
  <c r="L317" i="7" l="1"/>
  <c r="N318" i="7"/>
  <c r="M318" i="7"/>
  <c r="O318" i="7" s="1"/>
  <c r="N319" i="7" l="1"/>
  <c r="M319" i="7"/>
  <c r="O319" i="7" s="1"/>
  <c r="L318" i="7"/>
  <c r="L319" i="7" l="1"/>
  <c r="M320" i="7"/>
  <c r="O320" i="7" s="1"/>
  <c r="N320" i="7"/>
  <c r="N321" i="7" l="1"/>
  <c r="M321" i="7"/>
  <c r="L320" i="7"/>
  <c r="L321" i="7" l="1"/>
  <c r="O321" i="7"/>
  <c r="N322" i="7" l="1"/>
  <c r="M322" i="7"/>
  <c r="O322" i="7" s="1"/>
  <c r="M323" i="7" l="1"/>
  <c r="O323" i="7" s="1"/>
  <c r="N323" i="7"/>
  <c r="L322" i="7"/>
  <c r="L323" i="7" l="1"/>
  <c r="N324" i="7"/>
  <c r="M324" i="7"/>
  <c r="L324" i="7" l="1"/>
  <c r="O324" i="7"/>
  <c r="N325" i="7" l="1"/>
  <c r="M325" i="7"/>
  <c r="O325" i="7" s="1"/>
  <c r="L325" i="7" l="1"/>
  <c r="M326" i="7"/>
  <c r="O326" i="7" s="1"/>
  <c r="N326" i="7"/>
  <c r="L326" i="7" l="1"/>
  <c r="U29" i="7" s="1"/>
  <c r="N327" i="7"/>
  <c r="M327" i="7"/>
  <c r="O327" i="7" s="1"/>
  <c r="R29" i="7"/>
  <c r="N328" i="7" l="1"/>
  <c r="M328" i="7"/>
  <c r="O328" i="7" s="1"/>
  <c r="L327" i="7"/>
  <c r="L328" i="7" l="1"/>
  <c r="M329" i="7"/>
  <c r="O329" i="7" s="1"/>
  <c r="N329" i="7"/>
  <c r="L329" i="7" l="1"/>
  <c r="N330" i="7"/>
  <c r="M330" i="7"/>
  <c r="L330" i="7" l="1"/>
  <c r="O330" i="7"/>
  <c r="N331" i="7" l="1"/>
  <c r="M331" i="7"/>
  <c r="O331" i="7" s="1"/>
  <c r="L331" i="7" l="1"/>
  <c r="M332" i="7"/>
  <c r="O332" i="7" s="1"/>
  <c r="N332" i="7"/>
  <c r="L332" i="7" s="1"/>
  <c r="N333" i="7" l="1"/>
  <c r="M333" i="7"/>
  <c r="O333" i="7" s="1"/>
  <c r="N334" i="7" l="1"/>
  <c r="M334" i="7"/>
  <c r="O334" i="7" s="1"/>
  <c r="L333" i="7"/>
  <c r="M335" i="7" l="1"/>
  <c r="O335" i="7" s="1"/>
  <c r="N335" i="7"/>
  <c r="L334" i="7"/>
  <c r="L335" i="7" l="1"/>
  <c r="N336" i="7"/>
  <c r="M336" i="7"/>
  <c r="L336" i="7" l="1"/>
  <c r="O336" i="7"/>
  <c r="N337" i="7" l="1"/>
  <c r="M337" i="7"/>
  <c r="O337" i="7" s="1"/>
  <c r="L337" i="7" l="1"/>
  <c r="M338" i="7"/>
  <c r="O338" i="7" s="1"/>
  <c r="N338" i="7"/>
  <c r="L338" i="7" l="1"/>
  <c r="U30" i="7"/>
  <c r="N339" i="7"/>
  <c r="M339" i="7"/>
  <c r="O339" i="7" s="1"/>
  <c r="R30" i="7"/>
  <c r="N340" i="7" l="1"/>
  <c r="M340" i="7"/>
  <c r="O340" i="7" s="1"/>
  <c r="L339" i="7"/>
  <c r="M341" i="7" l="1"/>
  <c r="O341" i="7" s="1"/>
  <c r="N341" i="7"/>
  <c r="L340" i="7"/>
  <c r="L341" i="7" l="1"/>
  <c r="N342" i="7"/>
  <c r="M342" i="7"/>
  <c r="O342" i="7" s="1"/>
  <c r="N343" i="7" l="1"/>
  <c r="M343" i="7"/>
  <c r="O343" i="7" s="1"/>
  <c r="L342" i="7"/>
  <c r="M344" i="7" l="1"/>
  <c r="O344" i="7" s="1"/>
  <c r="N344" i="7"/>
  <c r="L344" i="7" s="1"/>
  <c r="L343" i="7"/>
  <c r="N345" i="7" l="1"/>
  <c r="M345" i="7"/>
  <c r="L345" i="7" l="1"/>
  <c r="O345" i="7"/>
  <c r="N346" i="7" l="1"/>
  <c r="M346" i="7"/>
  <c r="O346" i="7" s="1"/>
  <c r="M347" i="7" l="1"/>
  <c r="O347" i="7" s="1"/>
  <c r="N347" i="7"/>
  <c r="L346" i="7"/>
  <c r="L347" i="7" l="1"/>
  <c r="N348" i="7"/>
  <c r="M348" i="7"/>
  <c r="L348" i="7" l="1"/>
  <c r="O348" i="7"/>
  <c r="N349" i="7" l="1"/>
  <c r="M349" i="7"/>
  <c r="O349" i="7" s="1"/>
  <c r="L349" i="7" l="1"/>
  <c r="M350" i="7"/>
  <c r="O350" i="7" s="1"/>
  <c r="N350" i="7"/>
  <c r="L350" i="7" l="1"/>
  <c r="U31" i="7" s="1"/>
  <c r="N351" i="7"/>
  <c r="M351" i="7"/>
  <c r="R31" i="7"/>
  <c r="L351" i="7" l="1"/>
  <c r="O351" i="7"/>
  <c r="N352" i="7" s="1"/>
  <c r="M352" i="7" l="1"/>
  <c r="O352" i="7" l="1"/>
  <c r="L352" i="7"/>
  <c r="N353" i="7" l="1"/>
  <c r="M353" i="7"/>
  <c r="O353" i="7" s="1"/>
  <c r="N354" i="7" l="1"/>
  <c r="M354" i="7"/>
  <c r="L353" i="7"/>
  <c r="L354" i="7" l="1"/>
  <c r="O354" i="7"/>
  <c r="N355" i="7" l="1"/>
  <c r="M355" i="7"/>
  <c r="O355" i="7" l="1"/>
  <c r="L355" i="7"/>
  <c r="N356" i="7" l="1"/>
  <c r="M356" i="7"/>
  <c r="O356" i="7" s="1"/>
  <c r="N357" i="7" l="1"/>
  <c r="M357" i="7"/>
  <c r="L356" i="7"/>
  <c r="L357" i="7" l="1"/>
  <c r="O357" i="7"/>
  <c r="N358" i="7" s="1"/>
  <c r="M358" i="7" l="1"/>
  <c r="O358" i="7" s="1"/>
  <c r="M359" i="7" s="1"/>
  <c r="O359" i="7" s="1"/>
  <c r="L358" i="7" l="1"/>
  <c r="N359" i="7"/>
  <c r="L359" i="7" s="1"/>
  <c r="N360" i="7"/>
  <c r="M360" i="7"/>
  <c r="L360" i="7" l="1"/>
  <c r="O360" i="7"/>
  <c r="N361" i="7" l="1"/>
  <c r="M361" i="7"/>
  <c r="O361" i="7" s="1"/>
  <c r="N362" i="7" l="1"/>
  <c r="M362" i="7"/>
  <c r="O362" i="7" s="1"/>
  <c r="L361" i="7"/>
  <c r="N363" i="7" l="1"/>
  <c r="M363" i="7"/>
  <c r="R32" i="7"/>
  <c r="L362" i="7"/>
  <c r="U32" i="7" s="1"/>
  <c r="L363" i="7" l="1"/>
  <c r="O363" i="7"/>
  <c r="M364" i="7" s="1"/>
  <c r="O364" i="7" s="1"/>
  <c r="M365" i="7" s="1"/>
  <c r="O365" i="7" s="1"/>
  <c r="N365" i="7" l="1"/>
  <c r="L365" i="7" s="1"/>
  <c r="N364" i="7"/>
  <c r="L364" i="7" s="1"/>
  <c r="N366" i="7"/>
  <c r="M366" i="7"/>
  <c r="L366" i="7" l="1"/>
  <c r="O366" i="7"/>
  <c r="N367" i="7" l="1"/>
  <c r="M367" i="7"/>
  <c r="O367" i="7" s="1"/>
  <c r="L367" i="7" l="1"/>
  <c r="M368" i="7"/>
  <c r="O368" i="7" s="1"/>
  <c r="N368" i="7"/>
  <c r="L368" i="7" l="1"/>
  <c r="N369" i="7"/>
  <c r="M369" i="7"/>
  <c r="L369" i="7" l="1"/>
  <c r="O369" i="7"/>
  <c r="N370" i="7" l="1"/>
  <c r="M370" i="7"/>
  <c r="O370" i="7" s="1"/>
  <c r="M371" i="7" l="1"/>
  <c r="O371" i="7" s="1"/>
  <c r="N371" i="7"/>
  <c r="L370" i="7"/>
  <c r="L371" i="7" l="1"/>
  <c r="N372" i="7"/>
  <c r="M372" i="7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L372" i="7" l="1"/>
  <c r="N3" i="5"/>
  <c r="O372" i="7"/>
  <c r="L3" i="5"/>
  <c r="E38" i="7"/>
  <c r="E39" i="7"/>
  <c r="M3" i="5" l="1"/>
  <c r="O3" i="5" s="1"/>
  <c r="N373" i="7"/>
  <c r="M373" i="7"/>
  <c r="O373" i="7" s="1"/>
  <c r="N4" i="5" l="1"/>
  <c r="L4" i="5" s="1"/>
  <c r="M4" i="5" s="1"/>
  <c r="O4" i="5" s="1"/>
  <c r="N5" i="5" s="1"/>
  <c r="L5" i="5" s="1"/>
  <c r="M5" i="5" s="1"/>
  <c r="O5" i="5" s="1"/>
  <c r="N6" i="5" s="1"/>
  <c r="L6" i="5" s="1"/>
  <c r="M6" i="5" s="1"/>
  <c r="O6" i="5" s="1"/>
  <c r="N7" i="5" s="1"/>
  <c r="L7" i="5" s="1"/>
  <c r="L373" i="7"/>
  <c r="M374" i="7"/>
  <c r="O374" i="7" s="1"/>
  <c r="N374" i="7"/>
  <c r="M7" i="5" l="1"/>
  <c r="O7" i="5" s="1"/>
  <c r="N8" i="5" s="1"/>
  <c r="L8" i="5" s="1"/>
  <c r="L374" i="7"/>
  <c r="U33" i="7" s="1"/>
  <c r="N375" i="7"/>
  <c r="M375" i="7"/>
  <c r="R33" i="7"/>
  <c r="L375" i="7" l="1"/>
  <c r="M8" i="5"/>
  <c r="O8" i="5" s="1"/>
  <c r="N9" i="5" s="1"/>
  <c r="L9" i="5" s="1"/>
  <c r="M9" i="5" s="1"/>
  <c r="O9" i="5" s="1"/>
  <c r="N10" i="5" s="1"/>
  <c r="L10" i="5" s="1"/>
  <c r="M10" i="5" s="1"/>
  <c r="O10" i="5" s="1"/>
  <c r="N11" i="5" s="1"/>
  <c r="L11" i="5" s="1"/>
  <c r="O375" i="7"/>
  <c r="N376" i="7" s="1"/>
  <c r="M376" i="7" l="1"/>
  <c r="O376" i="7" s="1"/>
  <c r="M377" i="7" s="1"/>
  <c r="O377" i="7" s="1"/>
  <c r="M11" i="5"/>
  <c r="O11" i="5" s="1"/>
  <c r="N12" i="5" s="1"/>
  <c r="L12" i="5" s="1"/>
  <c r="M12" i="5" s="1"/>
  <c r="O12" i="5" s="1"/>
  <c r="N13" i="5" s="1"/>
  <c r="L13" i="5" s="1"/>
  <c r="L376" i="7" l="1"/>
  <c r="N377" i="7"/>
  <c r="L377" i="7" s="1"/>
  <c r="N378" i="7"/>
  <c r="M378" i="7"/>
  <c r="M13" i="5"/>
  <c r="O13" i="5" s="1"/>
  <c r="N14" i="5" s="1"/>
  <c r="L14" i="5" s="1"/>
  <c r="U3" i="5" s="1"/>
  <c r="L378" i="7" l="1"/>
  <c r="O378" i="7"/>
  <c r="M14" i="5"/>
  <c r="O14" i="5" s="1"/>
  <c r="R3" i="5" s="1"/>
  <c r="N15" i="5" l="1"/>
  <c r="L15" i="5" s="1"/>
  <c r="N379" i="7"/>
  <c r="M379" i="7"/>
  <c r="O379" i="7" s="1"/>
  <c r="M15" i="5" l="1"/>
  <c r="O15" i="5" s="1"/>
  <c r="N16" i="5" s="1"/>
  <c r="L16" i="5" s="1"/>
  <c r="M16" i="5" s="1"/>
  <c r="O16" i="5" s="1"/>
  <c r="N17" i="5" s="1"/>
  <c r="L17" i="5" s="1"/>
  <c r="M17" i="5" s="1"/>
  <c r="O17" i="5" s="1"/>
  <c r="N18" i="5" s="1"/>
  <c r="L18" i="5" s="1"/>
  <c r="M18" i="5" s="1"/>
  <c r="O18" i="5" s="1"/>
  <c r="N19" i="5" s="1"/>
  <c r="L19" i="5" s="1"/>
  <c r="M19" i="5" s="1"/>
  <c r="O19" i="5" s="1"/>
  <c r="N20" i="5" s="1"/>
  <c r="L20" i="5" s="1"/>
  <c r="M20" i="5" s="1"/>
  <c r="O20" i="5" s="1"/>
  <c r="N21" i="5" s="1"/>
  <c r="L21" i="5" s="1"/>
  <c r="L379" i="7"/>
  <c r="M380" i="7"/>
  <c r="O380" i="7" s="1"/>
  <c r="N380" i="7"/>
  <c r="L380" i="7" l="1"/>
  <c r="N381" i="7"/>
  <c r="M381" i="7"/>
  <c r="O381" i="7" s="1"/>
  <c r="M21" i="5"/>
  <c r="O21" i="5" s="1"/>
  <c r="N22" i="5" s="1"/>
  <c r="L22" i="5" s="1"/>
  <c r="M22" i="5" s="1"/>
  <c r="O22" i="5" s="1"/>
  <c r="N23" i="5" s="1"/>
  <c r="L23" i="5" s="1"/>
  <c r="M23" i="5" s="1"/>
  <c r="O23" i="5" s="1"/>
  <c r="N24" i="5" s="1"/>
  <c r="L24" i="5" s="1"/>
  <c r="N382" i="7" l="1"/>
  <c r="M382" i="7"/>
  <c r="O382" i="7" s="1"/>
  <c r="L381" i="7"/>
  <c r="M24" i="5"/>
  <c r="O24" i="5" s="1"/>
  <c r="N25" i="5" s="1"/>
  <c r="L25" i="5" s="1"/>
  <c r="M25" i="5" s="1"/>
  <c r="O25" i="5" s="1"/>
  <c r="N26" i="5" s="1"/>
  <c r="L26" i="5" s="1"/>
  <c r="U4" i="5" s="1"/>
  <c r="M26" i="5" l="1"/>
  <c r="O26" i="5" s="1"/>
  <c r="N27" i="5" s="1"/>
  <c r="L27" i="5" s="1"/>
  <c r="M27" i="5" s="1"/>
  <c r="O27" i="5" s="1"/>
  <c r="N28" i="5" s="1"/>
  <c r="L28" i="5" s="1"/>
  <c r="M28" i="5" s="1"/>
  <c r="O28" i="5" s="1"/>
  <c r="N29" i="5" s="1"/>
  <c r="L29" i="5" s="1"/>
  <c r="M29" i="5" s="1"/>
  <c r="O29" i="5" s="1"/>
  <c r="N30" i="5" s="1"/>
  <c r="L30" i="5" s="1"/>
  <c r="M383" i="7"/>
  <c r="O383" i="7" s="1"/>
  <c r="N383" i="7"/>
  <c r="L382" i="7"/>
  <c r="L383" i="7" l="1"/>
  <c r="N384" i="7"/>
  <c r="M384" i="7"/>
  <c r="O384" i="7" s="1"/>
  <c r="M30" i="5"/>
  <c r="O30" i="5" s="1"/>
  <c r="N31" i="5" s="1"/>
  <c r="L31" i="5" s="1"/>
  <c r="M31" i="5" s="1"/>
  <c r="O31" i="5" s="1"/>
  <c r="N32" i="5" s="1"/>
  <c r="L32" i="5" s="1"/>
  <c r="M32" i="5" s="1"/>
  <c r="O32" i="5" s="1"/>
  <c r="N33" i="5" s="1"/>
  <c r="L33" i="5" s="1"/>
  <c r="N385" i="7" l="1"/>
  <c r="M385" i="7"/>
  <c r="O385" i="7" s="1"/>
  <c r="L384" i="7"/>
  <c r="M33" i="5"/>
  <c r="O33" i="5" s="1"/>
  <c r="N34" i="5" s="1"/>
  <c r="L34" i="5" s="1"/>
  <c r="M34" i="5" s="1"/>
  <c r="O34" i="5" s="1"/>
  <c r="N35" i="5" s="1"/>
  <c r="L35" i="5" s="1"/>
  <c r="M35" i="5" s="1"/>
  <c r="O35" i="5" s="1"/>
  <c r="N36" i="5" s="1"/>
  <c r="L36" i="5" s="1"/>
  <c r="L385" i="7" l="1"/>
  <c r="M386" i="7"/>
  <c r="O386" i="7" s="1"/>
  <c r="N386" i="7"/>
  <c r="L386" i="7" s="1"/>
  <c r="U34" i="7" s="1"/>
  <c r="M36" i="5"/>
  <c r="O36" i="5" s="1"/>
  <c r="N37" i="5" s="1"/>
  <c r="L37" i="5" s="1"/>
  <c r="M37" i="5" s="1"/>
  <c r="O37" i="5" s="1"/>
  <c r="N38" i="5" s="1"/>
  <c r="L38" i="5" s="1"/>
  <c r="U5" i="5" s="1"/>
  <c r="M38" i="5" l="1"/>
  <c r="O38" i="5" s="1"/>
  <c r="R5" i="5" s="1"/>
  <c r="N387" i="7"/>
  <c r="M387" i="7"/>
  <c r="O387" i="7" s="1"/>
  <c r="R34" i="7"/>
  <c r="N39" i="5" l="1"/>
  <c r="L39" i="5" s="1"/>
  <c r="M39" i="5" s="1"/>
  <c r="O39" i="5" s="1"/>
  <c r="N40" i="5" s="1"/>
  <c r="L40" i="5" s="1"/>
  <c r="M40" i="5" s="1"/>
  <c r="O40" i="5" s="1"/>
  <c r="N41" i="5" s="1"/>
  <c r="L41" i="5" s="1"/>
  <c r="M41" i="5" s="1"/>
  <c r="O41" i="5" s="1"/>
  <c r="N42" i="5" s="1"/>
  <c r="L42" i="5" s="1"/>
  <c r="M42" i="5" s="1"/>
  <c r="O42" i="5" s="1"/>
  <c r="N43" i="5" s="1"/>
  <c r="L43" i="5" s="1"/>
  <c r="M43" i="5" s="1"/>
  <c r="O43" i="5" s="1"/>
  <c r="N44" i="5" s="1"/>
  <c r="L44" i="5" s="1"/>
  <c r="M44" i="5" s="1"/>
  <c r="O44" i="5" s="1"/>
  <c r="N45" i="5" s="1"/>
  <c r="L45" i="5" s="1"/>
  <c r="N388" i="7"/>
  <c r="M388" i="7"/>
  <c r="O388" i="7" s="1"/>
  <c r="L387" i="7"/>
  <c r="S3" i="5"/>
  <c r="T3" i="5" l="1"/>
  <c r="L388" i="7"/>
  <c r="M389" i="7"/>
  <c r="O389" i="7" s="1"/>
  <c r="N389" i="7"/>
  <c r="M45" i="5"/>
  <c r="O45" i="5" s="1"/>
  <c r="N46" i="5" s="1"/>
  <c r="L46" i="5" s="1"/>
  <c r="M46" i="5" s="1"/>
  <c r="O46" i="5" s="1"/>
  <c r="N47" i="5" s="1"/>
  <c r="L47" i="5" s="1"/>
  <c r="M47" i="5" s="1"/>
  <c r="O47" i="5" s="1"/>
  <c r="N48" i="5" s="1"/>
  <c r="L48" i="5" s="1"/>
  <c r="L389" i="7" l="1"/>
  <c r="N390" i="7"/>
  <c r="M390" i="7"/>
  <c r="O390" i="7" s="1"/>
  <c r="M48" i="5"/>
  <c r="O48" i="5" s="1"/>
  <c r="N49" i="5" s="1"/>
  <c r="L49" i="5" s="1"/>
  <c r="M49" i="5" s="1"/>
  <c r="O49" i="5" s="1"/>
  <c r="N50" i="5" s="1"/>
  <c r="L50" i="5" s="1"/>
  <c r="U6" i="5" s="1"/>
  <c r="M50" i="5" l="1"/>
  <c r="O50" i="5" s="1"/>
  <c r="N51" i="5" s="1"/>
  <c r="L51" i="5" s="1"/>
  <c r="M51" i="5" s="1"/>
  <c r="O51" i="5" s="1"/>
  <c r="N52" i="5" s="1"/>
  <c r="L52" i="5" s="1"/>
  <c r="M52" i="5" s="1"/>
  <c r="O52" i="5" s="1"/>
  <c r="N53" i="5" s="1"/>
  <c r="L53" i="5" s="1"/>
  <c r="M53" i="5" s="1"/>
  <c r="O53" i="5" s="1"/>
  <c r="N54" i="5" s="1"/>
  <c r="L54" i="5" s="1"/>
  <c r="N391" i="7"/>
  <c r="M391" i="7"/>
  <c r="O391" i="7" s="1"/>
  <c r="L390" i="7"/>
  <c r="L391" i="7" l="1"/>
  <c r="M392" i="7"/>
  <c r="O392" i="7" s="1"/>
  <c r="N392" i="7"/>
  <c r="M54" i="5"/>
  <c r="O54" i="5" s="1"/>
  <c r="N55" i="5" s="1"/>
  <c r="L55" i="5" s="1"/>
  <c r="M55" i="5" s="1"/>
  <c r="O55" i="5" s="1"/>
  <c r="N56" i="5" s="1"/>
  <c r="L56" i="5" s="1"/>
  <c r="M56" i="5" s="1"/>
  <c r="O56" i="5" s="1"/>
  <c r="N57" i="5" s="1"/>
  <c r="L57" i="5" s="1"/>
  <c r="N393" i="7" l="1"/>
  <c r="M393" i="7"/>
  <c r="O393" i="7" s="1"/>
  <c r="L392" i="7"/>
  <c r="M57" i="5"/>
  <c r="O57" i="5" s="1"/>
  <c r="N58" i="5" s="1"/>
  <c r="L58" i="5" s="1"/>
  <c r="M58" i="5" s="1"/>
  <c r="O58" i="5" s="1"/>
  <c r="N59" i="5" s="1"/>
  <c r="L59" i="5" s="1"/>
  <c r="M59" i="5" s="1"/>
  <c r="O59" i="5" s="1"/>
  <c r="N60" i="5" s="1"/>
  <c r="L60" i="5" s="1"/>
  <c r="N394" i="7" l="1"/>
  <c r="M394" i="7"/>
  <c r="O394" i="7" s="1"/>
  <c r="L393" i="7"/>
  <c r="M60" i="5"/>
  <c r="O60" i="5" s="1"/>
  <c r="N61" i="5" s="1"/>
  <c r="L61" i="5" s="1"/>
  <c r="M61" i="5" s="1"/>
  <c r="O61" i="5" s="1"/>
  <c r="N62" i="5" s="1"/>
  <c r="L62" i="5" s="1"/>
  <c r="M62" i="5" l="1"/>
  <c r="O62" i="5" s="1"/>
  <c r="N63" i="5" s="1"/>
  <c r="L63" i="5" s="1"/>
  <c r="M63" i="5" s="1"/>
  <c r="O63" i="5" s="1"/>
  <c r="N64" i="5" s="1"/>
  <c r="L64" i="5" s="1"/>
  <c r="U7" i="5"/>
  <c r="L394" i="7"/>
  <c r="M395" i="7"/>
  <c r="O395" i="7" s="1"/>
  <c r="N395" i="7"/>
  <c r="N396" i="7" l="1"/>
  <c r="M396" i="7"/>
  <c r="O396" i="7" s="1"/>
  <c r="L395" i="7"/>
  <c r="M64" i="5"/>
  <c r="O64" i="5" s="1"/>
  <c r="N65" i="5" s="1"/>
  <c r="L65" i="5" s="1"/>
  <c r="N397" i="7" l="1"/>
  <c r="M397" i="7"/>
  <c r="O397" i="7" s="1"/>
  <c r="L396" i="7"/>
  <c r="M65" i="5"/>
  <c r="O65" i="5" s="1"/>
  <c r="N66" i="5" s="1"/>
  <c r="L66" i="5" s="1"/>
  <c r="L397" i="7" l="1"/>
  <c r="M398" i="7"/>
  <c r="O398" i="7" s="1"/>
  <c r="N398" i="7"/>
  <c r="M66" i="5"/>
  <c r="O66" i="5" s="1"/>
  <c r="N67" i="5" s="1"/>
  <c r="L67" i="5" s="1"/>
  <c r="R4" i="5"/>
  <c r="L398" i="7" l="1"/>
  <c r="U35" i="7" s="1"/>
  <c r="N399" i="7"/>
  <c r="M399" i="7"/>
  <c r="O399" i="7" s="1"/>
  <c r="R35" i="7"/>
  <c r="M67" i="5"/>
  <c r="O67" i="5" s="1"/>
  <c r="N68" i="5" s="1"/>
  <c r="L68" i="5" s="1"/>
  <c r="N400" i="7" l="1"/>
  <c r="M400" i="7"/>
  <c r="O400" i="7" s="1"/>
  <c r="L399" i="7"/>
  <c r="M68" i="5"/>
  <c r="O68" i="5" s="1"/>
  <c r="N69" i="5" s="1"/>
  <c r="L69" i="5" s="1"/>
  <c r="S4" i="5"/>
  <c r="T4" i="5" l="1"/>
  <c r="L400" i="7"/>
  <c r="M401" i="7"/>
  <c r="O401" i="7" s="1"/>
  <c r="N401" i="7"/>
  <c r="M69" i="5"/>
  <c r="O69" i="5" s="1"/>
  <c r="N70" i="5" s="1"/>
  <c r="L70" i="5" s="1"/>
  <c r="L401" i="7" l="1"/>
  <c r="N402" i="7"/>
  <c r="M402" i="7"/>
  <c r="M70" i="5"/>
  <c r="O70" i="5" s="1"/>
  <c r="N71" i="5" s="1"/>
  <c r="L71" i="5" s="1"/>
  <c r="L402" i="7" l="1"/>
  <c r="O402" i="7"/>
  <c r="M71" i="5"/>
  <c r="O71" i="5" s="1"/>
  <c r="N72" i="5" s="1"/>
  <c r="L72" i="5" s="1"/>
  <c r="N403" i="7" l="1"/>
  <c r="M403" i="7"/>
  <c r="O403" i="7" s="1"/>
  <c r="M72" i="5"/>
  <c r="O72" i="5" s="1"/>
  <c r="N73" i="5" s="1"/>
  <c r="L73" i="5" s="1"/>
  <c r="M404" i="7" l="1"/>
  <c r="O404" i="7" s="1"/>
  <c r="N404" i="7"/>
  <c r="L403" i="7"/>
  <c r="M73" i="5"/>
  <c r="O73" i="5" s="1"/>
  <c r="N74" i="5" s="1"/>
  <c r="L74" i="5" s="1"/>
  <c r="U8" i="5" s="1"/>
  <c r="N405" i="7" l="1"/>
  <c r="M405" i="7"/>
  <c r="O405" i="7" s="1"/>
  <c r="L404" i="7"/>
  <c r="M74" i="5"/>
  <c r="O74" i="5" s="1"/>
  <c r="N75" i="5" s="1"/>
  <c r="L75" i="5" s="1"/>
  <c r="N406" i="7" l="1"/>
  <c r="M406" i="7"/>
  <c r="O406" i="7" s="1"/>
  <c r="L405" i="7"/>
  <c r="M75" i="5"/>
  <c r="O75" i="5" s="1"/>
  <c r="N76" i="5" s="1"/>
  <c r="L76" i="5" s="1"/>
  <c r="M407" i="7" l="1"/>
  <c r="O407" i="7" s="1"/>
  <c r="N407" i="7"/>
  <c r="L406" i="7"/>
  <c r="M76" i="5"/>
  <c r="O76" i="5" s="1"/>
  <c r="N77" i="5" s="1"/>
  <c r="L77" i="5" s="1"/>
  <c r="N408" i="7" l="1"/>
  <c r="M408" i="7"/>
  <c r="O408" i="7" s="1"/>
  <c r="L407" i="7"/>
  <c r="M77" i="5"/>
  <c r="O77" i="5" s="1"/>
  <c r="N78" i="5" s="1"/>
  <c r="L78" i="5" s="1"/>
  <c r="N409" i="7" l="1"/>
  <c r="M409" i="7"/>
  <c r="O409" i="7" s="1"/>
  <c r="L408" i="7"/>
  <c r="M78" i="5"/>
  <c r="O78" i="5" s="1"/>
  <c r="N79" i="5" s="1"/>
  <c r="L79" i="5" s="1"/>
  <c r="L409" i="7" l="1"/>
  <c r="M410" i="7"/>
  <c r="O410" i="7" s="1"/>
  <c r="N410" i="7"/>
  <c r="M79" i="5"/>
  <c r="O79" i="5" s="1"/>
  <c r="N80" i="5" s="1"/>
  <c r="L80" i="5" s="1"/>
  <c r="L410" i="7" l="1"/>
  <c r="U36" i="7" s="1"/>
  <c r="N411" i="7"/>
  <c r="M411" i="7"/>
  <c r="O411" i="7" s="1"/>
  <c r="R36" i="7"/>
  <c r="M80" i="5"/>
  <c r="O80" i="5" s="1"/>
  <c r="N81" i="5" s="1"/>
  <c r="L81" i="5" s="1"/>
  <c r="S5" i="5"/>
  <c r="T5" i="5" s="1"/>
  <c r="N412" i="7" l="1"/>
  <c r="M412" i="7"/>
  <c r="O412" i="7" s="1"/>
  <c r="L411" i="7"/>
  <c r="M81" i="5"/>
  <c r="O81" i="5" s="1"/>
  <c r="N82" i="5" s="1"/>
  <c r="L82" i="5" s="1"/>
  <c r="L412" i="7" l="1"/>
  <c r="M413" i="7"/>
  <c r="O413" i="7" s="1"/>
  <c r="N413" i="7"/>
  <c r="M82" i="5"/>
  <c r="O82" i="5" s="1"/>
  <c r="N83" i="5" s="1"/>
  <c r="L83" i="5" s="1"/>
  <c r="N414" i="7" l="1"/>
  <c r="M414" i="7"/>
  <c r="O414" i="7" s="1"/>
  <c r="L413" i="7"/>
  <c r="M83" i="5"/>
  <c r="O83" i="5" s="1"/>
  <c r="N84" i="5" s="1"/>
  <c r="L84" i="5" s="1"/>
  <c r="N415" i="7" l="1"/>
  <c r="M415" i="7"/>
  <c r="O415" i="7" s="1"/>
  <c r="L414" i="7"/>
  <c r="M84" i="5"/>
  <c r="O84" i="5" s="1"/>
  <c r="N85" i="5" s="1"/>
  <c r="L85" i="5" s="1"/>
  <c r="L415" i="7" l="1"/>
  <c r="M416" i="7"/>
  <c r="O416" i="7" s="1"/>
  <c r="N416" i="7"/>
  <c r="M85" i="5"/>
  <c r="O85" i="5" s="1"/>
  <c r="N86" i="5" s="1"/>
  <c r="L86" i="5" s="1"/>
  <c r="U9" i="5" s="1"/>
  <c r="L416" i="7" l="1"/>
  <c r="N417" i="7"/>
  <c r="M417" i="7"/>
  <c r="M86" i="5"/>
  <c r="O86" i="5" s="1"/>
  <c r="N87" i="5" s="1"/>
  <c r="L87" i="5" s="1"/>
  <c r="L417" i="7" l="1"/>
  <c r="O417" i="7"/>
  <c r="M87" i="5"/>
  <c r="O87" i="5" s="1"/>
  <c r="N88" i="5" s="1"/>
  <c r="L88" i="5" s="1"/>
  <c r="N418" i="7" l="1"/>
  <c r="M418" i="7"/>
  <c r="O418" i="7" s="1"/>
  <c r="M88" i="5"/>
  <c r="O88" i="5" s="1"/>
  <c r="N89" i="5" s="1"/>
  <c r="L89" i="5" s="1"/>
  <c r="M419" i="7" l="1"/>
  <c r="O419" i="7" s="1"/>
  <c r="N419" i="7"/>
  <c r="L418" i="7"/>
  <c r="M89" i="5"/>
  <c r="O89" i="5" s="1"/>
  <c r="N90" i="5" s="1"/>
  <c r="L90" i="5" s="1"/>
  <c r="L419" i="7" l="1"/>
  <c r="N420" i="7"/>
  <c r="M420" i="7"/>
  <c r="M90" i="5"/>
  <c r="O90" i="5" s="1"/>
  <c r="N91" i="5" s="1"/>
  <c r="L91" i="5" s="1"/>
  <c r="R6" i="5"/>
  <c r="L420" i="7" l="1"/>
  <c r="O420" i="7"/>
  <c r="M91" i="5"/>
  <c r="O91" i="5" s="1"/>
  <c r="N92" i="5" s="1"/>
  <c r="L92" i="5" s="1"/>
  <c r="N421" i="7" l="1"/>
  <c r="M421" i="7"/>
  <c r="O421" i="7" s="1"/>
  <c r="M92" i="5"/>
  <c r="O92" i="5" s="1"/>
  <c r="N93" i="5" s="1"/>
  <c r="L93" i="5" s="1"/>
  <c r="S6" i="5"/>
  <c r="T6" i="5" s="1"/>
  <c r="M422" i="7" l="1"/>
  <c r="M423" i="7" s="1"/>
  <c r="N422" i="7"/>
  <c r="N423" i="7" s="1"/>
  <c r="L421" i="7"/>
  <c r="M93" i="5"/>
  <c r="O93" i="5" s="1"/>
  <c r="N94" i="5" s="1"/>
  <c r="L94" i="5" s="1"/>
  <c r="L422" i="7" l="1"/>
  <c r="O422" i="7"/>
  <c r="R37" i="7" s="1"/>
  <c r="M94" i="5"/>
  <c r="O94" i="5" s="1"/>
  <c r="N95" i="5" s="1"/>
  <c r="L95" i="5" s="1"/>
  <c r="E201" i="7" l="1"/>
  <c r="E203" i="7" s="1"/>
  <c r="E1041" i="7"/>
  <c r="E1043" i="7" s="1"/>
  <c r="E327" i="7"/>
  <c r="E329" i="7" s="1"/>
  <c r="E495" i="7"/>
  <c r="E497" i="7" s="1"/>
  <c r="E999" i="7"/>
  <c r="E1001" i="7" s="1"/>
  <c r="E621" i="7"/>
  <c r="E623" i="7" s="1"/>
  <c r="E96" i="7"/>
  <c r="E98" i="7" s="1"/>
  <c r="E180" i="7"/>
  <c r="E182" i="7" s="1"/>
  <c r="E726" i="7"/>
  <c r="E728" i="7" s="1"/>
  <c r="E369" i="7"/>
  <c r="E371" i="7" s="1"/>
  <c r="E75" i="7"/>
  <c r="E77" i="7" s="1"/>
  <c r="E285" i="7"/>
  <c r="E287" i="7" s="1"/>
  <c r="E579" i="7"/>
  <c r="E581" i="7" s="1"/>
  <c r="E159" i="7"/>
  <c r="E161" i="7" s="1"/>
  <c r="E936" i="7"/>
  <c r="E938" i="7" s="1"/>
  <c r="E894" i="7"/>
  <c r="E896" i="7" s="1"/>
  <c r="E117" i="7"/>
  <c r="E119" i="7" s="1"/>
  <c r="E33" i="7"/>
  <c r="E705" i="7"/>
  <c r="E707" i="7" s="1"/>
  <c r="E768" i="7"/>
  <c r="E770" i="7" s="1"/>
  <c r="E957" i="7"/>
  <c r="E959" i="7" s="1"/>
  <c r="E600" i="7"/>
  <c r="E602" i="7" s="1"/>
  <c r="E411" i="7"/>
  <c r="E413" i="7" s="1"/>
  <c r="E54" i="7"/>
  <c r="E56" i="7" s="1"/>
  <c r="E684" i="7"/>
  <c r="E686" i="7" s="1"/>
  <c r="E1020" i="7"/>
  <c r="E1022" i="7" s="1"/>
  <c r="E810" i="7"/>
  <c r="E812" i="7" s="1"/>
  <c r="E432" i="7"/>
  <c r="E434" i="7" s="1"/>
  <c r="E306" i="7"/>
  <c r="E308" i="7" s="1"/>
  <c r="E138" i="7"/>
  <c r="E140" i="7" s="1"/>
  <c r="E348" i="7"/>
  <c r="E350" i="7" s="1"/>
  <c r="E663" i="7"/>
  <c r="E665" i="7" s="1"/>
  <c r="E789" i="7"/>
  <c r="E791" i="7" s="1"/>
  <c r="E516" i="7"/>
  <c r="E518" i="7" s="1"/>
  <c r="E537" i="7"/>
  <c r="E539" i="7" s="1"/>
  <c r="E978" i="7"/>
  <c r="E980" i="7" s="1"/>
  <c r="E831" i="7"/>
  <c r="E833" i="7" s="1"/>
  <c r="E852" i="7"/>
  <c r="E854" i="7" s="1"/>
  <c r="E264" i="7"/>
  <c r="E266" i="7" s="1"/>
  <c r="E558" i="7"/>
  <c r="E560" i="7" s="1"/>
  <c r="E390" i="7"/>
  <c r="E392" i="7" s="1"/>
  <c r="E747" i="7"/>
  <c r="E749" i="7" s="1"/>
  <c r="E873" i="7"/>
  <c r="E875" i="7" s="1"/>
  <c r="E474" i="7"/>
  <c r="E476" i="7" s="1"/>
  <c r="E243" i="7"/>
  <c r="E245" i="7" s="1"/>
  <c r="E915" i="7"/>
  <c r="E917" i="7" s="1"/>
  <c r="E642" i="7"/>
  <c r="E644" i="7" s="1"/>
  <c r="E453" i="7"/>
  <c r="E455" i="7" s="1"/>
  <c r="E222" i="7"/>
  <c r="E224" i="7" s="1"/>
  <c r="E12" i="7"/>
  <c r="E14" i="7" s="1"/>
  <c r="L423" i="7"/>
  <c r="U37" i="7"/>
  <c r="M95" i="5"/>
  <c r="O95" i="5" s="1"/>
  <c r="N96" i="5" s="1"/>
  <c r="L96" i="5" s="1"/>
  <c r="U38" i="7" l="1"/>
  <c r="U39" i="7" s="1"/>
  <c r="U40" i="7" s="1"/>
  <c r="U41" i="7" s="1"/>
  <c r="U42" i="7" s="1"/>
  <c r="U43" i="7" s="1"/>
  <c r="U44" i="7" s="1"/>
  <c r="U45" i="7" s="1"/>
  <c r="U46" i="7" s="1"/>
  <c r="U47" i="7" s="1"/>
  <c r="U48" i="7" s="1"/>
  <c r="U49" i="7" s="1"/>
  <c r="U50" i="7" s="1"/>
  <c r="U51" i="7" s="1"/>
  <c r="U52" i="7" s="1"/>
  <c r="M96" i="5"/>
  <c r="O96" i="5" s="1"/>
  <c r="N97" i="5" s="1"/>
  <c r="L97" i="5" s="1"/>
  <c r="E7" i="7" l="1"/>
  <c r="E28" i="7"/>
  <c r="E1036" i="7"/>
  <c r="E1040" i="7" s="1"/>
  <c r="E1044" i="7" s="1"/>
  <c r="E1049" i="7" s="1"/>
  <c r="X52" i="7" s="1"/>
  <c r="E238" i="7"/>
  <c r="E242" i="7" s="1"/>
  <c r="E246" i="7" s="1"/>
  <c r="E251" i="7" s="1"/>
  <c r="X14" i="7" s="1"/>
  <c r="E175" i="7"/>
  <c r="E179" i="7" s="1"/>
  <c r="E183" i="7" s="1"/>
  <c r="E188" i="7" s="1"/>
  <c r="X11" i="7" s="1"/>
  <c r="E280" i="7"/>
  <c r="E284" i="7" s="1"/>
  <c r="E288" i="7" s="1"/>
  <c r="E293" i="7" s="1"/>
  <c r="X16" i="7" s="1"/>
  <c r="E133" i="7"/>
  <c r="E137" i="7" s="1"/>
  <c r="E141" i="7" s="1"/>
  <c r="E146" i="7" s="1"/>
  <c r="X9" i="7" s="1"/>
  <c r="E490" i="7"/>
  <c r="E494" i="7" s="1"/>
  <c r="E498" i="7" s="1"/>
  <c r="E503" i="7" s="1"/>
  <c r="X26" i="7" s="1"/>
  <c r="E847" i="7"/>
  <c r="E851" i="7" s="1"/>
  <c r="E855" i="7" s="1"/>
  <c r="E860" i="7" s="1"/>
  <c r="X43" i="7" s="1"/>
  <c r="E322" i="7"/>
  <c r="E326" i="7" s="1"/>
  <c r="E330" i="7" s="1"/>
  <c r="E335" i="7" s="1"/>
  <c r="X18" i="7" s="1"/>
  <c r="E616" i="7"/>
  <c r="E620" i="7" s="1"/>
  <c r="E624" i="7" s="1"/>
  <c r="E629" i="7" s="1"/>
  <c r="X32" i="7" s="1"/>
  <c r="E532" i="7"/>
  <c r="E536" i="7" s="1"/>
  <c r="E540" i="7" s="1"/>
  <c r="E545" i="7" s="1"/>
  <c r="X28" i="7" s="1"/>
  <c r="E805" i="7"/>
  <c r="E809" i="7" s="1"/>
  <c r="E813" i="7" s="1"/>
  <c r="E818" i="7" s="1"/>
  <c r="X41" i="7" s="1"/>
  <c r="E448" i="7"/>
  <c r="E452" i="7" s="1"/>
  <c r="E456" i="7" s="1"/>
  <c r="E461" i="7" s="1"/>
  <c r="X24" i="7" s="1"/>
  <c r="E952" i="7"/>
  <c r="E956" i="7" s="1"/>
  <c r="E960" i="7" s="1"/>
  <c r="E965" i="7" s="1"/>
  <c r="X48" i="7" s="1"/>
  <c r="E553" i="7"/>
  <c r="E557" i="7" s="1"/>
  <c r="E561" i="7" s="1"/>
  <c r="E566" i="7" s="1"/>
  <c r="X29" i="7" s="1"/>
  <c r="E868" i="7"/>
  <c r="E872" i="7" s="1"/>
  <c r="E876" i="7" s="1"/>
  <c r="E881" i="7" s="1"/>
  <c r="X44" i="7" s="1"/>
  <c r="E826" i="7"/>
  <c r="E830" i="7" s="1"/>
  <c r="E834" i="7" s="1"/>
  <c r="E839" i="7" s="1"/>
  <c r="X42" i="7" s="1"/>
  <c r="E595" i="7"/>
  <c r="E599" i="7" s="1"/>
  <c r="E603" i="7" s="1"/>
  <c r="E608" i="7" s="1"/>
  <c r="X31" i="7" s="1"/>
  <c r="E343" i="7"/>
  <c r="E347" i="7" s="1"/>
  <c r="E351" i="7" s="1"/>
  <c r="E356" i="7" s="1"/>
  <c r="X19" i="7" s="1"/>
  <c r="E406" i="7"/>
  <c r="E410" i="7" s="1"/>
  <c r="E414" i="7" s="1"/>
  <c r="E419" i="7" s="1"/>
  <c r="X22" i="7" s="1"/>
  <c r="E196" i="7"/>
  <c r="E200" i="7" s="1"/>
  <c r="E204" i="7" s="1"/>
  <c r="E209" i="7" s="1"/>
  <c r="X12" i="7" s="1"/>
  <c r="E784" i="7"/>
  <c r="E788" i="7" s="1"/>
  <c r="E792" i="7" s="1"/>
  <c r="E797" i="7" s="1"/>
  <c r="X40" i="7" s="1"/>
  <c r="E763" i="7"/>
  <c r="E767" i="7" s="1"/>
  <c r="E771" i="7" s="1"/>
  <c r="E776" i="7" s="1"/>
  <c r="X39" i="7" s="1"/>
  <c r="E91" i="7"/>
  <c r="E95" i="7" s="1"/>
  <c r="E99" i="7" s="1"/>
  <c r="E104" i="7" s="1"/>
  <c r="X7" i="7" s="1"/>
  <c r="E511" i="7"/>
  <c r="E515" i="7" s="1"/>
  <c r="E519" i="7" s="1"/>
  <c r="E524" i="7" s="1"/>
  <c r="X27" i="7" s="1"/>
  <c r="E469" i="7"/>
  <c r="E473" i="7" s="1"/>
  <c r="E477" i="7" s="1"/>
  <c r="E482" i="7" s="1"/>
  <c r="X25" i="7" s="1"/>
  <c r="E679" i="7"/>
  <c r="E683" i="7" s="1"/>
  <c r="E687" i="7" s="1"/>
  <c r="E692" i="7" s="1"/>
  <c r="X35" i="7" s="1"/>
  <c r="E931" i="7"/>
  <c r="E935" i="7" s="1"/>
  <c r="E939" i="7" s="1"/>
  <c r="E944" i="7" s="1"/>
  <c r="X47" i="7" s="1"/>
  <c r="E574" i="7"/>
  <c r="E578" i="7" s="1"/>
  <c r="E582" i="7" s="1"/>
  <c r="E587" i="7" s="1"/>
  <c r="X30" i="7" s="1"/>
  <c r="E70" i="7"/>
  <c r="E74" i="7" s="1"/>
  <c r="E78" i="7" s="1"/>
  <c r="E83" i="7" s="1"/>
  <c r="X6" i="7" s="1"/>
  <c r="E637" i="7"/>
  <c r="E641" i="7" s="1"/>
  <c r="E645" i="7" s="1"/>
  <c r="E650" i="7" s="1"/>
  <c r="X33" i="7" s="1"/>
  <c r="E994" i="7"/>
  <c r="E998" i="7" s="1"/>
  <c r="E1002" i="7" s="1"/>
  <c r="E1007" i="7" s="1"/>
  <c r="X50" i="7" s="1"/>
  <c r="E112" i="7"/>
  <c r="E116" i="7" s="1"/>
  <c r="E120" i="7" s="1"/>
  <c r="E125" i="7" s="1"/>
  <c r="X8" i="7" s="1"/>
  <c r="E721" i="7"/>
  <c r="E725" i="7" s="1"/>
  <c r="E729" i="7" s="1"/>
  <c r="E734" i="7" s="1"/>
  <c r="X37" i="7" s="1"/>
  <c r="E32" i="7"/>
  <c r="E49" i="7"/>
  <c r="E53" i="7" s="1"/>
  <c r="E57" i="7" s="1"/>
  <c r="E62" i="7" s="1"/>
  <c r="X5" i="7" s="1"/>
  <c r="E742" i="7"/>
  <c r="E746" i="7" s="1"/>
  <c r="E750" i="7" s="1"/>
  <c r="E755" i="7" s="1"/>
  <c r="X38" i="7" s="1"/>
  <c r="E889" i="7"/>
  <c r="E893" i="7" s="1"/>
  <c r="E897" i="7" s="1"/>
  <c r="E902" i="7" s="1"/>
  <c r="X45" i="7" s="1"/>
  <c r="E973" i="7"/>
  <c r="E977" i="7" s="1"/>
  <c r="E981" i="7" s="1"/>
  <c r="E986" i="7" s="1"/>
  <c r="X49" i="7" s="1"/>
  <c r="E1015" i="7"/>
  <c r="E1019" i="7" s="1"/>
  <c r="E1023" i="7" s="1"/>
  <c r="E1028" i="7" s="1"/>
  <c r="X51" i="7" s="1"/>
  <c r="E364" i="7"/>
  <c r="E368" i="7" s="1"/>
  <c r="E372" i="7" s="1"/>
  <c r="E377" i="7" s="1"/>
  <c r="X20" i="7" s="1"/>
  <c r="E700" i="7"/>
  <c r="E704" i="7" s="1"/>
  <c r="E708" i="7" s="1"/>
  <c r="E713" i="7" s="1"/>
  <c r="X36" i="7" s="1"/>
  <c r="E259" i="7"/>
  <c r="E263" i="7" s="1"/>
  <c r="E267" i="7" s="1"/>
  <c r="E272" i="7" s="1"/>
  <c r="X15" i="7" s="1"/>
  <c r="E154" i="7"/>
  <c r="E158" i="7" s="1"/>
  <c r="E162" i="7" s="1"/>
  <c r="E167" i="7" s="1"/>
  <c r="X10" i="7" s="1"/>
  <c r="E910" i="7"/>
  <c r="E914" i="7" s="1"/>
  <c r="E918" i="7" s="1"/>
  <c r="E923" i="7" s="1"/>
  <c r="X46" i="7" s="1"/>
  <c r="E658" i="7"/>
  <c r="E662" i="7" s="1"/>
  <c r="E666" i="7" s="1"/>
  <c r="E671" i="7" s="1"/>
  <c r="X34" i="7" s="1"/>
  <c r="E217" i="7"/>
  <c r="E221" i="7" s="1"/>
  <c r="E225" i="7" s="1"/>
  <c r="E230" i="7" s="1"/>
  <c r="X13" i="7" s="1"/>
  <c r="E427" i="7"/>
  <c r="E431" i="7" s="1"/>
  <c r="E435" i="7" s="1"/>
  <c r="E440" i="7" s="1"/>
  <c r="X23" i="7" s="1"/>
  <c r="E385" i="7"/>
  <c r="E389" i="7" s="1"/>
  <c r="E393" i="7" s="1"/>
  <c r="E398" i="7" s="1"/>
  <c r="X21" i="7" s="1"/>
  <c r="E301" i="7"/>
  <c r="E305" i="7" s="1"/>
  <c r="E309" i="7" s="1"/>
  <c r="E314" i="7" s="1"/>
  <c r="X17" i="7" s="1"/>
  <c r="M97" i="5"/>
  <c r="O97" i="5" s="1"/>
  <c r="N98" i="5" s="1"/>
  <c r="L98" i="5" s="1"/>
  <c r="U10" i="5" s="1"/>
  <c r="E11" i="7" l="1"/>
  <c r="E15" i="7" s="1"/>
  <c r="E20" i="7" s="1"/>
  <c r="X3" i="7" s="1"/>
  <c r="M98" i="5"/>
  <c r="O98" i="5" s="1"/>
  <c r="N99" i="5" s="1"/>
  <c r="L99" i="5" s="1"/>
  <c r="M99" i="5" l="1"/>
  <c r="O99" i="5" s="1"/>
  <c r="N100" i="5" s="1"/>
  <c r="L100" i="5" s="1"/>
  <c r="M100" i="5" l="1"/>
  <c r="O100" i="5" s="1"/>
  <c r="N101" i="5" s="1"/>
  <c r="L101" i="5" s="1"/>
  <c r="M101" i="5" l="1"/>
  <c r="O101" i="5" s="1"/>
  <c r="N102" i="5" s="1"/>
  <c r="L102" i="5" s="1"/>
  <c r="M102" i="5" l="1"/>
  <c r="O102" i="5" s="1"/>
  <c r="N103" i="5" s="1"/>
  <c r="L103" i="5" s="1"/>
  <c r="R7" i="5"/>
  <c r="M103" i="5" l="1"/>
  <c r="O103" i="5" s="1"/>
  <c r="N104" i="5" s="1"/>
  <c r="L104" i="5" s="1"/>
  <c r="M104" i="5" l="1"/>
  <c r="O104" i="5" s="1"/>
  <c r="N105" i="5" s="1"/>
  <c r="L105" i="5" s="1"/>
  <c r="S7" i="5"/>
  <c r="T7" i="5" s="1"/>
  <c r="M105" i="5" l="1"/>
  <c r="O105" i="5" s="1"/>
  <c r="N106" i="5" s="1"/>
  <c r="L106" i="5" s="1"/>
  <c r="M106" i="5" l="1"/>
  <c r="O106" i="5" s="1"/>
  <c r="N107" i="5" s="1"/>
  <c r="L107" i="5" s="1"/>
  <c r="M107" i="5" l="1"/>
  <c r="O107" i="5" s="1"/>
  <c r="N108" i="5" s="1"/>
  <c r="L108" i="5" s="1"/>
  <c r="M108" i="5" l="1"/>
  <c r="O108" i="5" s="1"/>
  <c r="N109" i="5" s="1"/>
  <c r="L109" i="5" s="1"/>
  <c r="M109" i="5" l="1"/>
  <c r="O109" i="5" s="1"/>
  <c r="N110" i="5" s="1"/>
  <c r="L110" i="5" s="1"/>
  <c r="U11" i="5" s="1"/>
  <c r="M110" i="5" l="1"/>
  <c r="O110" i="5" s="1"/>
  <c r="N111" i="5" s="1"/>
  <c r="L111" i="5" s="1"/>
  <c r="M111" i="5" l="1"/>
  <c r="O111" i="5" s="1"/>
  <c r="N112" i="5" s="1"/>
  <c r="L112" i="5" s="1"/>
  <c r="M112" i="5" l="1"/>
  <c r="O112" i="5" s="1"/>
  <c r="N113" i="5" s="1"/>
  <c r="L113" i="5" s="1"/>
  <c r="M113" i="5" l="1"/>
  <c r="O113" i="5" s="1"/>
  <c r="N114" i="5" s="1"/>
  <c r="L114" i="5" s="1"/>
  <c r="M114" i="5" l="1"/>
  <c r="O114" i="5" s="1"/>
  <c r="N115" i="5" s="1"/>
  <c r="L115" i="5" s="1"/>
  <c r="R8" i="5"/>
  <c r="M115" i="5" l="1"/>
  <c r="O115" i="5" s="1"/>
  <c r="N116" i="5" s="1"/>
  <c r="L116" i="5" s="1"/>
  <c r="M116" i="5" l="1"/>
  <c r="O116" i="5" s="1"/>
  <c r="N117" i="5" s="1"/>
  <c r="L117" i="5" s="1"/>
  <c r="S8" i="5"/>
  <c r="T8" i="5" s="1"/>
  <c r="M117" i="5" l="1"/>
  <c r="O117" i="5" s="1"/>
  <c r="N118" i="5" s="1"/>
  <c r="L118" i="5" s="1"/>
  <c r="M118" i="5" l="1"/>
  <c r="O118" i="5" s="1"/>
  <c r="N119" i="5" s="1"/>
  <c r="L119" i="5" s="1"/>
  <c r="M119" i="5" l="1"/>
  <c r="O119" i="5" s="1"/>
  <c r="N120" i="5" s="1"/>
  <c r="L120" i="5" s="1"/>
  <c r="M120" i="5" l="1"/>
  <c r="O120" i="5" s="1"/>
  <c r="N121" i="5" s="1"/>
  <c r="L121" i="5" s="1"/>
  <c r="M121" i="5" l="1"/>
  <c r="O121" i="5" s="1"/>
  <c r="N122" i="5" s="1"/>
  <c r="L122" i="5" s="1"/>
  <c r="U12" i="5" s="1"/>
  <c r="M122" i="5" l="1"/>
  <c r="O122" i="5" s="1"/>
  <c r="N123" i="5" s="1"/>
  <c r="L123" i="5" s="1"/>
  <c r="M123" i="5" l="1"/>
  <c r="O123" i="5" s="1"/>
  <c r="N124" i="5" s="1"/>
  <c r="L124" i="5" s="1"/>
  <c r="M124" i="5" l="1"/>
  <c r="O124" i="5" s="1"/>
  <c r="N125" i="5" s="1"/>
  <c r="L125" i="5" s="1"/>
  <c r="M125" i="5" l="1"/>
  <c r="O125" i="5" s="1"/>
  <c r="N126" i="5" s="1"/>
  <c r="L126" i="5" s="1"/>
  <c r="M126" i="5" l="1"/>
  <c r="O126" i="5" s="1"/>
  <c r="N127" i="5" s="1"/>
  <c r="L127" i="5" s="1"/>
  <c r="R9" i="5"/>
  <c r="M127" i="5" l="1"/>
  <c r="O127" i="5" s="1"/>
  <c r="N128" i="5" s="1"/>
  <c r="L128" i="5" s="1"/>
  <c r="M128" i="5" l="1"/>
  <c r="O128" i="5" s="1"/>
  <c r="N129" i="5" s="1"/>
  <c r="L129" i="5" s="1"/>
  <c r="S9" i="5"/>
  <c r="T9" i="5" s="1"/>
  <c r="M129" i="5" l="1"/>
  <c r="O129" i="5" s="1"/>
  <c r="N130" i="5" s="1"/>
  <c r="L130" i="5" s="1"/>
  <c r="M130" i="5" l="1"/>
  <c r="O130" i="5" s="1"/>
  <c r="N131" i="5" s="1"/>
  <c r="L131" i="5" s="1"/>
  <c r="M131" i="5" l="1"/>
  <c r="O131" i="5" s="1"/>
  <c r="N132" i="5" s="1"/>
  <c r="L132" i="5" s="1"/>
  <c r="M132" i="5" l="1"/>
  <c r="O132" i="5" s="1"/>
  <c r="N133" i="5" s="1"/>
  <c r="L133" i="5" s="1"/>
  <c r="M133" i="5" l="1"/>
  <c r="O133" i="5" s="1"/>
  <c r="N134" i="5" s="1"/>
  <c r="L134" i="5" s="1"/>
  <c r="U13" i="5" s="1"/>
  <c r="M134" i="5" l="1"/>
  <c r="O134" i="5" s="1"/>
  <c r="N135" i="5" s="1"/>
  <c r="L135" i="5" s="1"/>
  <c r="M135" i="5" l="1"/>
  <c r="O135" i="5" s="1"/>
  <c r="N136" i="5" s="1"/>
  <c r="L136" i="5" s="1"/>
  <c r="M136" i="5" l="1"/>
  <c r="O136" i="5" s="1"/>
  <c r="N137" i="5" s="1"/>
  <c r="L137" i="5" s="1"/>
  <c r="M137" i="5" l="1"/>
  <c r="O137" i="5" s="1"/>
  <c r="N138" i="5" s="1"/>
  <c r="L138" i="5" s="1"/>
  <c r="M138" i="5" l="1"/>
  <c r="O138" i="5" s="1"/>
  <c r="N139" i="5" s="1"/>
  <c r="L139" i="5" s="1"/>
  <c r="R10" i="5"/>
  <c r="M139" i="5" l="1"/>
  <c r="O139" i="5" s="1"/>
  <c r="N140" i="5" s="1"/>
  <c r="L140" i="5" s="1"/>
  <c r="M140" i="5" l="1"/>
  <c r="O140" i="5" s="1"/>
  <c r="N141" i="5" s="1"/>
  <c r="L141" i="5" s="1"/>
  <c r="S10" i="5"/>
  <c r="T10" i="5" s="1"/>
  <c r="M141" i="5" l="1"/>
  <c r="O141" i="5" s="1"/>
  <c r="N142" i="5" s="1"/>
  <c r="L142" i="5" s="1"/>
  <c r="M142" i="5" l="1"/>
  <c r="O142" i="5" s="1"/>
  <c r="N143" i="5" s="1"/>
  <c r="L143" i="5" s="1"/>
  <c r="M143" i="5" l="1"/>
  <c r="O143" i="5" s="1"/>
  <c r="N144" i="5" s="1"/>
  <c r="L144" i="5" s="1"/>
  <c r="M144" i="5" l="1"/>
  <c r="O144" i="5" s="1"/>
  <c r="N145" i="5" s="1"/>
  <c r="L145" i="5" s="1"/>
  <c r="M145" i="5" l="1"/>
  <c r="O145" i="5" s="1"/>
  <c r="N146" i="5" s="1"/>
  <c r="L146" i="5" s="1"/>
  <c r="U14" i="5" s="1"/>
  <c r="M146" i="5" l="1"/>
  <c r="O146" i="5" s="1"/>
  <c r="N147" i="5" s="1"/>
  <c r="L147" i="5" s="1"/>
  <c r="M147" i="5" l="1"/>
  <c r="O147" i="5" s="1"/>
  <c r="N148" i="5" s="1"/>
  <c r="L148" i="5" s="1"/>
  <c r="M148" i="5" l="1"/>
  <c r="O148" i="5" s="1"/>
  <c r="N149" i="5" s="1"/>
  <c r="L149" i="5" s="1"/>
  <c r="M149" i="5" l="1"/>
  <c r="O149" i="5" s="1"/>
  <c r="N150" i="5" s="1"/>
  <c r="L150" i="5" s="1"/>
  <c r="M150" i="5" l="1"/>
  <c r="O150" i="5" s="1"/>
  <c r="N151" i="5" s="1"/>
  <c r="L151" i="5" s="1"/>
  <c r="R11" i="5"/>
  <c r="M151" i="5" l="1"/>
  <c r="O151" i="5" s="1"/>
  <c r="N152" i="5" s="1"/>
  <c r="L152" i="5" s="1"/>
  <c r="M152" i="5" l="1"/>
  <c r="O152" i="5" s="1"/>
  <c r="N153" i="5" s="1"/>
  <c r="L153" i="5" s="1"/>
  <c r="S11" i="5"/>
  <c r="T11" i="5" s="1"/>
  <c r="M153" i="5" l="1"/>
  <c r="O153" i="5" s="1"/>
  <c r="N154" i="5" s="1"/>
  <c r="L154" i="5" s="1"/>
  <c r="M154" i="5" l="1"/>
  <c r="O154" i="5" s="1"/>
  <c r="N155" i="5" s="1"/>
  <c r="L155" i="5" s="1"/>
  <c r="M155" i="5" l="1"/>
  <c r="O155" i="5" s="1"/>
  <c r="N156" i="5" s="1"/>
  <c r="L156" i="5" s="1"/>
  <c r="M156" i="5" l="1"/>
  <c r="O156" i="5" s="1"/>
  <c r="N157" i="5" s="1"/>
  <c r="L157" i="5" s="1"/>
  <c r="M157" i="5" l="1"/>
  <c r="O157" i="5" s="1"/>
  <c r="N158" i="5" s="1"/>
  <c r="L158" i="5" s="1"/>
  <c r="U15" i="5" s="1"/>
  <c r="M158" i="5" l="1"/>
  <c r="O158" i="5" s="1"/>
  <c r="N159" i="5" s="1"/>
  <c r="L159" i="5" s="1"/>
  <c r="M159" i="5" l="1"/>
  <c r="O159" i="5" s="1"/>
  <c r="N160" i="5" s="1"/>
  <c r="L160" i="5" s="1"/>
  <c r="M160" i="5" l="1"/>
  <c r="O160" i="5" s="1"/>
  <c r="N161" i="5" s="1"/>
  <c r="L161" i="5" s="1"/>
  <c r="M161" i="5" l="1"/>
  <c r="O161" i="5" s="1"/>
  <c r="N162" i="5" s="1"/>
  <c r="L162" i="5" s="1"/>
  <c r="M162" i="5" l="1"/>
  <c r="O162" i="5" s="1"/>
  <c r="N163" i="5" s="1"/>
  <c r="L163" i="5" s="1"/>
  <c r="R12" i="5"/>
  <c r="M163" i="5" l="1"/>
  <c r="O163" i="5" s="1"/>
  <c r="N164" i="5" s="1"/>
  <c r="L164" i="5" s="1"/>
  <c r="M164" i="5" l="1"/>
  <c r="O164" i="5" s="1"/>
  <c r="N165" i="5" s="1"/>
  <c r="L165" i="5" s="1"/>
  <c r="S12" i="5"/>
  <c r="T12" i="5" s="1"/>
  <c r="M165" i="5" l="1"/>
  <c r="O165" i="5" s="1"/>
  <c r="N166" i="5" s="1"/>
  <c r="L166" i="5" s="1"/>
  <c r="M166" i="5" l="1"/>
  <c r="O166" i="5" s="1"/>
  <c r="N167" i="5" s="1"/>
  <c r="L167" i="5" s="1"/>
  <c r="M167" i="5" l="1"/>
  <c r="O167" i="5" s="1"/>
  <c r="N168" i="5" s="1"/>
  <c r="L168" i="5" s="1"/>
  <c r="M168" i="5" l="1"/>
  <c r="O168" i="5" s="1"/>
  <c r="N169" i="5" s="1"/>
  <c r="L169" i="5" s="1"/>
  <c r="M169" i="5" l="1"/>
  <c r="O169" i="5" s="1"/>
  <c r="N170" i="5" s="1"/>
  <c r="L170" i="5" s="1"/>
  <c r="U16" i="5" s="1"/>
  <c r="M170" i="5" l="1"/>
  <c r="O170" i="5" s="1"/>
  <c r="N171" i="5" s="1"/>
  <c r="L171" i="5" s="1"/>
  <c r="M171" i="5" l="1"/>
  <c r="O171" i="5" s="1"/>
  <c r="N172" i="5" s="1"/>
  <c r="L172" i="5" s="1"/>
  <c r="M172" i="5" l="1"/>
  <c r="O172" i="5" s="1"/>
  <c r="N173" i="5" s="1"/>
  <c r="L173" i="5" s="1"/>
  <c r="M173" i="5" l="1"/>
  <c r="O173" i="5" s="1"/>
  <c r="N174" i="5" s="1"/>
  <c r="L174" i="5" s="1"/>
  <c r="M174" i="5" l="1"/>
  <c r="O174" i="5" s="1"/>
  <c r="N175" i="5" s="1"/>
  <c r="L175" i="5" s="1"/>
  <c r="R13" i="5"/>
  <c r="M175" i="5" l="1"/>
  <c r="O175" i="5" s="1"/>
  <c r="N176" i="5" s="1"/>
  <c r="L176" i="5" s="1"/>
  <c r="M176" i="5" l="1"/>
  <c r="O176" i="5" s="1"/>
  <c r="N177" i="5" s="1"/>
  <c r="L177" i="5" s="1"/>
  <c r="S13" i="5"/>
  <c r="T13" i="5" s="1"/>
  <c r="M177" i="5" l="1"/>
  <c r="O177" i="5" s="1"/>
  <c r="N178" i="5" s="1"/>
  <c r="L178" i="5" s="1"/>
  <c r="M178" i="5" l="1"/>
  <c r="O178" i="5" s="1"/>
  <c r="N179" i="5" s="1"/>
  <c r="L179" i="5" s="1"/>
  <c r="M179" i="5" l="1"/>
  <c r="O179" i="5" s="1"/>
  <c r="N180" i="5" s="1"/>
  <c r="L180" i="5" s="1"/>
  <c r="M180" i="5" l="1"/>
  <c r="O180" i="5" s="1"/>
  <c r="N181" i="5" s="1"/>
  <c r="L181" i="5" s="1"/>
  <c r="M181" i="5" l="1"/>
  <c r="O181" i="5" s="1"/>
  <c r="N182" i="5" s="1"/>
  <c r="L182" i="5" s="1"/>
  <c r="U17" i="5" s="1"/>
  <c r="M182" i="5" l="1"/>
  <c r="O182" i="5" s="1"/>
  <c r="N183" i="5" s="1"/>
  <c r="L183" i="5" s="1"/>
  <c r="M183" i="5" l="1"/>
  <c r="O183" i="5" s="1"/>
  <c r="N184" i="5" s="1"/>
  <c r="L184" i="5" s="1"/>
  <c r="M184" i="5" l="1"/>
  <c r="O184" i="5" s="1"/>
  <c r="N185" i="5" s="1"/>
  <c r="L185" i="5" s="1"/>
  <c r="M185" i="5" l="1"/>
  <c r="O185" i="5" s="1"/>
  <c r="N186" i="5" s="1"/>
  <c r="L186" i="5" s="1"/>
  <c r="M186" i="5" l="1"/>
  <c r="O186" i="5" s="1"/>
  <c r="N187" i="5" s="1"/>
  <c r="L187" i="5" s="1"/>
  <c r="R14" i="5"/>
  <c r="M187" i="5" l="1"/>
  <c r="O187" i="5" s="1"/>
  <c r="N188" i="5" s="1"/>
  <c r="L188" i="5" s="1"/>
  <c r="M188" i="5" l="1"/>
  <c r="O188" i="5" s="1"/>
  <c r="N189" i="5" s="1"/>
  <c r="L189" i="5" s="1"/>
  <c r="S14" i="5"/>
  <c r="T14" i="5" s="1"/>
  <c r="M189" i="5" l="1"/>
  <c r="O189" i="5" s="1"/>
  <c r="N190" i="5" s="1"/>
  <c r="L190" i="5" s="1"/>
  <c r="M190" i="5" l="1"/>
  <c r="O190" i="5" s="1"/>
  <c r="N191" i="5" s="1"/>
  <c r="L191" i="5" s="1"/>
  <c r="M191" i="5" l="1"/>
  <c r="O191" i="5" s="1"/>
  <c r="N192" i="5" s="1"/>
  <c r="L192" i="5" s="1"/>
  <c r="M192" i="5" l="1"/>
  <c r="O192" i="5" s="1"/>
  <c r="N193" i="5" s="1"/>
  <c r="L193" i="5" s="1"/>
  <c r="M193" i="5" l="1"/>
  <c r="O193" i="5" s="1"/>
  <c r="N194" i="5" s="1"/>
  <c r="L194" i="5" s="1"/>
  <c r="U18" i="5" s="1"/>
  <c r="M194" i="5" l="1"/>
  <c r="O194" i="5" s="1"/>
  <c r="N195" i="5" s="1"/>
  <c r="L195" i="5" s="1"/>
  <c r="M195" i="5" l="1"/>
  <c r="O195" i="5" s="1"/>
  <c r="N196" i="5" s="1"/>
  <c r="L196" i="5" s="1"/>
  <c r="M196" i="5" l="1"/>
  <c r="O196" i="5" s="1"/>
  <c r="N197" i="5" s="1"/>
  <c r="L197" i="5" s="1"/>
  <c r="M197" i="5" l="1"/>
  <c r="O197" i="5" s="1"/>
  <c r="N198" i="5" s="1"/>
  <c r="L198" i="5" s="1"/>
  <c r="M198" i="5" l="1"/>
  <c r="O198" i="5" s="1"/>
  <c r="N199" i="5" s="1"/>
  <c r="L199" i="5" s="1"/>
  <c r="R15" i="5"/>
  <c r="M199" i="5" l="1"/>
  <c r="O199" i="5" s="1"/>
  <c r="N200" i="5" s="1"/>
  <c r="L200" i="5" s="1"/>
  <c r="M200" i="5" l="1"/>
  <c r="O200" i="5" s="1"/>
  <c r="N201" i="5" s="1"/>
  <c r="L201" i="5" s="1"/>
  <c r="S15" i="5"/>
  <c r="S19" i="5" s="1"/>
  <c r="S51" i="5" l="1"/>
  <c r="S21" i="5"/>
  <c r="S37" i="5"/>
  <c r="S22" i="5"/>
  <c r="S20" i="5"/>
  <c r="S32" i="5"/>
  <c r="S29" i="5"/>
  <c r="S17" i="5"/>
  <c r="S27" i="5"/>
  <c r="S34" i="5"/>
  <c r="S33" i="5"/>
  <c r="S16" i="5"/>
  <c r="M201" i="5"/>
  <c r="O201" i="5" s="1"/>
  <c r="N202" i="5" s="1"/>
  <c r="L202" i="5" s="1"/>
  <c r="S31" i="5"/>
  <c r="S38" i="5"/>
  <c r="S40" i="5"/>
  <c r="S42" i="5"/>
  <c r="S46" i="5"/>
  <c r="S24" i="5"/>
  <c r="T15" i="5"/>
  <c r="S23" i="5"/>
  <c r="S36" i="5"/>
  <c r="S18" i="5"/>
  <c r="S48" i="5"/>
  <c r="S26" i="5"/>
  <c r="S50" i="5"/>
  <c r="S35" i="5"/>
  <c r="S30" i="5"/>
  <c r="S25" i="5"/>
  <c r="S39" i="5"/>
  <c r="S41" i="5"/>
  <c r="S43" i="5"/>
  <c r="S44" i="5"/>
  <c r="S45" i="5"/>
  <c r="S47" i="5"/>
  <c r="S52" i="5"/>
  <c r="S49" i="5"/>
  <c r="S28" i="5"/>
  <c r="T47" i="5" l="1"/>
  <c r="T38" i="5"/>
  <c r="T20" i="5"/>
  <c r="T28" i="5"/>
  <c r="T50" i="5"/>
  <c r="T33" i="5"/>
  <c r="T52" i="5"/>
  <c r="T49" i="5"/>
  <c r="T51" i="5"/>
  <c r="T23" i="5"/>
  <c r="T32" i="5"/>
  <c r="M202" i="5"/>
  <c r="O202" i="5" s="1"/>
  <c r="N203" i="5" s="1"/>
  <c r="L203" i="5" s="1"/>
  <c r="T25" i="5"/>
  <c r="T30" i="5"/>
  <c r="T29" i="5"/>
  <c r="T40" i="5"/>
  <c r="T34" i="5"/>
  <c r="T44" i="5"/>
  <c r="T41" i="5"/>
  <c r="T35" i="5"/>
  <c r="T22" i="5"/>
  <c r="T37" i="5"/>
  <c r="T16" i="5"/>
  <c r="T24" i="5"/>
  <c r="T43" i="5"/>
  <c r="T27" i="5"/>
  <c r="T17" i="5"/>
  <c r="T42" i="5"/>
  <c r="T19" i="5"/>
  <c r="T48" i="5"/>
  <c r="T36" i="5"/>
  <c r="T45" i="5"/>
  <c r="T31" i="5"/>
  <c r="T39" i="5"/>
  <c r="T46" i="5"/>
  <c r="T18" i="5"/>
  <c r="F9" i="4" s="1"/>
  <c r="F9" i="8" s="1"/>
  <c r="T26" i="5"/>
  <c r="T21" i="5"/>
  <c r="E9" i="5" l="1"/>
  <c r="E10" i="9" s="1"/>
  <c r="E807" i="5"/>
  <c r="E808" i="9" s="1"/>
  <c r="E282" i="5"/>
  <c r="E283" i="9" s="1"/>
  <c r="E765" i="5"/>
  <c r="E766" i="9" s="1"/>
  <c r="E702" i="5"/>
  <c r="E703" i="9" s="1"/>
  <c r="E30" i="5"/>
  <c r="E31" i="9" s="1"/>
  <c r="E597" i="5"/>
  <c r="E598" i="9" s="1"/>
  <c r="E429" i="5"/>
  <c r="E430" i="9" s="1"/>
  <c r="E324" i="5"/>
  <c r="E325" i="9" s="1"/>
  <c r="E261" i="5"/>
  <c r="E262" i="9" s="1"/>
  <c r="E72" i="5"/>
  <c r="E73" i="9" s="1"/>
  <c r="E870" i="5"/>
  <c r="E871" i="9" s="1"/>
  <c r="E618" i="5"/>
  <c r="E619" i="9" s="1"/>
  <c r="E387" i="5"/>
  <c r="E388" i="9" s="1"/>
  <c r="E156" i="5"/>
  <c r="E157" i="9" s="1"/>
  <c r="E450" i="5"/>
  <c r="E451" i="9" s="1"/>
  <c r="E639" i="5"/>
  <c r="E640" i="9" s="1"/>
  <c r="E534" i="5"/>
  <c r="E535" i="9" s="1"/>
  <c r="E345" i="5"/>
  <c r="E346" i="9" s="1"/>
  <c r="E492" i="5"/>
  <c r="E493" i="9" s="1"/>
  <c r="E555" i="5"/>
  <c r="E556" i="9" s="1"/>
  <c r="E93" i="5"/>
  <c r="E94" i="9" s="1"/>
  <c r="E954" i="5"/>
  <c r="E955" i="9" s="1"/>
  <c r="E303" i="5"/>
  <c r="E304" i="9" s="1"/>
  <c r="E366" i="5"/>
  <c r="E367" i="9" s="1"/>
  <c r="E975" i="5"/>
  <c r="E976" i="9" s="1"/>
  <c r="E408" i="5"/>
  <c r="E409" i="9" s="1"/>
  <c r="E891" i="5"/>
  <c r="E892" i="9" s="1"/>
  <c r="E576" i="5"/>
  <c r="E577" i="9" s="1"/>
  <c r="E933" i="5"/>
  <c r="E934" i="9" s="1"/>
  <c r="E219" i="5"/>
  <c r="E220" i="9" s="1"/>
  <c r="E513" i="5"/>
  <c r="E514" i="9" s="1"/>
  <c r="E198" i="5"/>
  <c r="E199" i="9" s="1"/>
  <c r="E660" i="5"/>
  <c r="E661" i="9" s="1"/>
  <c r="E996" i="5"/>
  <c r="E997" i="9" s="1"/>
  <c r="E744" i="5"/>
  <c r="E745" i="9" s="1"/>
  <c r="E135" i="5"/>
  <c r="E136" i="9" s="1"/>
  <c r="E828" i="5"/>
  <c r="E829" i="9" s="1"/>
  <c r="E1038" i="5"/>
  <c r="E1039" i="9" s="1"/>
  <c r="E177" i="5"/>
  <c r="E178" i="9" s="1"/>
  <c r="E1017" i="5"/>
  <c r="E1018" i="9" s="1"/>
  <c r="E912" i="5"/>
  <c r="E913" i="9" s="1"/>
  <c r="E849" i="5"/>
  <c r="E850" i="9" s="1"/>
  <c r="E723" i="5"/>
  <c r="E724" i="9" s="1"/>
  <c r="E114" i="5"/>
  <c r="E115" i="9" s="1"/>
  <c r="E471" i="5"/>
  <c r="E472" i="9" s="1"/>
  <c r="E681" i="5"/>
  <c r="E682" i="9" s="1"/>
  <c r="E240" i="5"/>
  <c r="E241" i="9" s="1"/>
  <c r="E786" i="5"/>
  <c r="E787" i="9" s="1"/>
  <c r="E51" i="5"/>
  <c r="E52" i="9" s="1"/>
  <c r="M203" i="5"/>
  <c r="O203" i="5" s="1"/>
  <c r="N204" i="5" s="1"/>
  <c r="L204" i="5" s="1"/>
  <c r="M204" i="5" l="1"/>
  <c r="O204" i="5" s="1"/>
  <c r="N205" i="5" s="1"/>
  <c r="L205" i="5" s="1"/>
  <c r="M205" i="5" l="1"/>
  <c r="O205" i="5" s="1"/>
  <c r="N206" i="5" s="1"/>
  <c r="L206" i="5" s="1"/>
  <c r="U19" i="5" s="1"/>
  <c r="M206" i="5" l="1"/>
  <c r="O206" i="5" s="1"/>
  <c r="N207" i="5" s="1"/>
  <c r="L207" i="5" s="1"/>
  <c r="M207" i="5" l="1"/>
  <c r="O207" i="5" s="1"/>
  <c r="N208" i="5" s="1"/>
  <c r="L208" i="5" s="1"/>
  <c r="M208" i="5" l="1"/>
  <c r="O208" i="5" s="1"/>
  <c r="N209" i="5" s="1"/>
  <c r="L209" i="5" s="1"/>
  <c r="M209" i="5" l="1"/>
  <c r="O209" i="5" s="1"/>
  <c r="N210" i="5" s="1"/>
  <c r="L210" i="5" s="1"/>
  <c r="M210" i="5" l="1"/>
  <c r="O210" i="5" s="1"/>
  <c r="N211" i="5" s="1"/>
  <c r="L211" i="5" s="1"/>
  <c r="R16" i="5"/>
  <c r="M211" i="5" l="1"/>
  <c r="O211" i="5" s="1"/>
  <c r="N212" i="5" s="1"/>
  <c r="L212" i="5" s="1"/>
  <c r="M212" i="5" l="1"/>
  <c r="O212" i="5" s="1"/>
  <c r="N213" i="5" s="1"/>
  <c r="L213" i="5" s="1"/>
  <c r="M213" i="5" l="1"/>
  <c r="O213" i="5" s="1"/>
  <c r="N214" i="5" s="1"/>
  <c r="L214" i="5" s="1"/>
  <c r="M214" i="5" l="1"/>
  <c r="O214" i="5" s="1"/>
  <c r="N215" i="5" s="1"/>
  <c r="L215" i="5" s="1"/>
  <c r="M215" i="5" l="1"/>
  <c r="O215" i="5" s="1"/>
  <c r="N216" i="5" s="1"/>
  <c r="L216" i="5" s="1"/>
  <c r="M216" i="5" l="1"/>
  <c r="O216" i="5" s="1"/>
  <c r="N217" i="5" s="1"/>
  <c r="L217" i="5" s="1"/>
  <c r="M217" i="5" l="1"/>
  <c r="O217" i="5" s="1"/>
  <c r="N218" i="5" s="1"/>
  <c r="L218" i="5" s="1"/>
  <c r="U20" i="5" s="1"/>
  <c r="M218" i="5" l="1"/>
  <c r="O218" i="5" s="1"/>
  <c r="N219" i="5" s="1"/>
  <c r="L219" i="5" s="1"/>
  <c r="M219" i="5" l="1"/>
  <c r="O219" i="5" s="1"/>
  <c r="N220" i="5" s="1"/>
  <c r="L220" i="5" s="1"/>
  <c r="M220" i="5" l="1"/>
  <c r="O220" i="5" s="1"/>
  <c r="N221" i="5" s="1"/>
  <c r="L221" i="5" s="1"/>
  <c r="M221" i="5" l="1"/>
  <c r="O221" i="5" s="1"/>
  <c r="N222" i="5" s="1"/>
  <c r="L222" i="5" s="1"/>
  <c r="M222" i="5" l="1"/>
  <c r="O222" i="5" s="1"/>
  <c r="N223" i="5" s="1"/>
  <c r="L223" i="5" s="1"/>
  <c r="R17" i="5"/>
  <c r="M223" i="5" l="1"/>
  <c r="O223" i="5" s="1"/>
  <c r="N224" i="5" s="1"/>
  <c r="L224" i="5" s="1"/>
  <c r="M224" i="5" l="1"/>
  <c r="O224" i="5" s="1"/>
  <c r="N225" i="5" s="1"/>
  <c r="L225" i="5" s="1"/>
  <c r="M225" i="5" l="1"/>
  <c r="O225" i="5" s="1"/>
  <c r="N226" i="5" s="1"/>
  <c r="L226" i="5" s="1"/>
  <c r="M226" i="5" l="1"/>
  <c r="O226" i="5" s="1"/>
  <c r="N227" i="5" s="1"/>
  <c r="L227" i="5" s="1"/>
  <c r="M227" i="5" l="1"/>
  <c r="O227" i="5" s="1"/>
  <c r="N228" i="5" s="1"/>
  <c r="L228" i="5" s="1"/>
  <c r="M228" i="5" l="1"/>
  <c r="O228" i="5" s="1"/>
  <c r="N229" i="5" s="1"/>
  <c r="L229" i="5" s="1"/>
  <c r="M229" i="5" l="1"/>
  <c r="O229" i="5" s="1"/>
  <c r="N230" i="5" s="1"/>
  <c r="L230" i="5" s="1"/>
  <c r="U21" i="5" s="1"/>
  <c r="M230" i="5" l="1"/>
  <c r="O230" i="5" s="1"/>
  <c r="N231" i="5" s="1"/>
  <c r="L231" i="5" s="1"/>
  <c r="M231" i="5" l="1"/>
  <c r="O231" i="5" s="1"/>
  <c r="N232" i="5" s="1"/>
  <c r="L232" i="5" s="1"/>
  <c r="M232" i="5" l="1"/>
  <c r="O232" i="5" s="1"/>
  <c r="N233" i="5" s="1"/>
  <c r="L233" i="5" s="1"/>
  <c r="M233" i="5" l="1"/>
  <c r="O233" i="5" s="1"/>
  <c r="N234" i="5" s="1"/>
  <c r="L234" i="5" s="1"/>
  <c r="M234" i="5" l="1"/>
  <c r="O234" i="5" s="1"/>
  <c r="N235" i="5" s="1"/>
  <c r="L235" i="5" s="1"/>
  <c r="R18" i="5"/>
  <c r="M235" i="5" l="1"/>
  <c r="O235" i="5" s="1"/>
  <c r="N236" i="5" s="1"/>
  <c r="L236" i="5" s="1"/>
  <c r="M236" i="5" l="1"/>
  <c r="O236" i="5" s="1"/>
  <c r="N237" i="5" s="1"/>
  <c r="L237" i="5" s="1"/>
  <c r="M237" i="5" l="1"/>
  <c r="O237" i="5" s="1"/>
  <c r="N238" i="5" s="1"/>
  <c r="L238" i="5" s="1"/>
  <c r="M238" i="5" l="1"/>
  <c r="O238" i="5" s="1"/>
  <c r="N239" i="5" s="1"/>
  <c r="L239" i="5" s="1"/>
  <c r="M239" i="5" l="1"/>
  <c r="O239" i="5" s="1"/>
  <c r="N240" i="5" s="1"/>
  <c r="L240" i="5" s="1"/>
  <c r="M240" i="5" l="1"/>
  <c r="O240" i="5" s="1"/>
  <c r="N241" i="5" s="1"/>
  <c r="L241" i="5" s="1"/>
  <c r="M241" i="5" l="1"/>
  <c r="O241" i="5" s="1"/>
  <c r="N242" i="5" s="1"/>
  <c r="L242" i="5" s="1"/>
  <c r="U22" i="5" s="1"/>
  <c r="M242" i="5" l="1"/>
  <c r="O242" i="5" s="1"/>
  <c r="N243" i="5" s="1"/>
  <c r="L243" i="5" s="1"/>
  <c r="M243" i="5" l="1"/>
  <c r="O243" i="5" s="1"/>
  <c r="N244" i="5" s="1"/>
  <c r="L244" i="5" s="1"/>
  <c r="M244" i="5" l="1"/>
  <c r="O244" i="5" s="1"/>
  <c r="N245" i="5" s="1"/>
  <c r="L245" i="5" s="1"/>
  <c r="M245" i="5" l="1"/>
  <c r="O245" i="5" s="1"/>
  <c r="N246" i="5" s="1"/>
  <c r="L246" i="5" s="1"/>
  <c r="M246" i="5" l="1"/>
  <c r="O246" i="5" s="1"/>
  <c r="N247" i="5" s="1"/>
  <c r="L247" i="5" s="1"/>
  <c r="R19" i="5"/>
  <c r="M247" i="5" l="1"/>
  <c r="O247" i="5" s="1"/>
  <c r="N248" i="5" s="1"/>
  <c r="L248" i="5" s="1"/>
  <c r="M248" i="5" l="1"/>
  <c r="O248" i="5" s="1"/>
  <c r="N249" i="5" s="1"/>
  <c r="L249" i="5" s="1"/>
  <c r="M249" i="5" l="1"/>
  <c r="O249" i="5" s="1"/>
  <c r="N250" i="5" s="1"/>
  <c r="L250" i="5" s="1"/>
  <c r="M250" i="5" l="1"/>
  <c r="O250" i="5" s="1"/>
  <c r="N251" i="5" s="1"/>
  <c r="L251" i="5" s="1"/>
  <c r="M251" i="5" l="1"/>
  <c r="O251" i="5" s="1"/>
  <c r="N252" i="5" s="1"/>
  <c r="L252" i="5" s="1"/>
  <c r="M252" i="5" l="1"/>
  <c r="O252" i="5" s="1"/>
  <c r="N253" i="5" s="1"/>
  <c r="L253" i="5" s="1"/>
  <c r="M253" i="5" l="1"/>
  <c r="O253" i="5" s="1"/>
  <c r="N254" i="5" s="1"/>
  <c r="L254" i="5" s="1"/>
  <c r="U23" i="5" s="1"/>
  <c r="M254" i="5" l="1"/>
  <c r="O254" i="5" s="1"/>
  <c r="N255" i="5" s="1"/>
  <c r="L255" i="5" s="1"/>
  <c r="M255" i="5" l="1"/>
  <c r="O255" i="5" s="1"/>
  <c r="N256" i="5" s="1"/>
  <c r="L256" i="5" s="1"/>
  <c r="M256" i="5" l="1"/>
  <c r="O256" i="5" s="1"/>
  <c r="N257" i="5" s="1"/>
  <c r="L257" i="5" s="1"/>
  <c r="M257" i="5" l="1"/>
  <c r="O257" i="5" s="1"/>
  <c r="N258" i="5" s="1"/>
  <c r="L258" i="5" s="1"/>
  <c r="M258" i="5" l="1"/>
  <c r="O258" i="5" s="1"/>
  <c r="N259" i="5" s="1"/>
  <c r="L259" i="5" s="1"/>
  <c r="R20" i="5"/>
  <c r="M259" i="5" l="1"/>
  <c r="O259" i="5" s="1"/>
  <c r="N260" i="5" s="1"/>
  <c r="L260" i="5" s="1"/>
  <c r="M260" i="5" l="1"/>
  <c r="O260" i="5" s="1"/>
  <c r="N261" i="5" s="1"/>
  <c r="L261" i="5" s="1"/>
  <c r="M261" i="5" l="1"/>
  <c r="O261" i="5" s="1"/>
  <c r="N262" i="5" s="1"/>
  <c r="L262" i="5" s="1"/>
  <c r="M262" i="5" l="1"/>
  <c r="O262" i="5" s="1"/>
  <c r="N263" i="5" s="1"/>
  <c r="L263" i="5" s="1"/>
  <c r="M263" i="5" l="1"/>
  <c r="O263" i="5" s="1"/>
  <c r="N264" i="5" s="1"/>
  <c r="L264" i="5" s="1"/>
  <c r="M264" i="5" l="1"/>
  <c r="O264" i="5" s="1"/>
  <c r="N265" i="5" s="1"/>
  <c r="L265" i="5" s="1"/>
  <c r="M265" i="5" l="1"/>
  <c r="O265" i="5" s="1"/>
  <c r="N266" i="5" s="1"/>
  <c r="L266" i="5" s="1"/>
  <c r="U24" i="5" s="1"/>
  <c r="M266" i="5" l="1"/>
  <c r="O266" i="5" s="1"/>
  <c r="N267" i="5" s="1"/>
  <c r="L267" i="5" s="1"/>
  <c r="M267" i="5" l="1"/>
  <c r="O267" i="5" s="1"/>
  <c r="N268" i="5" s="1"/>
  <c r="L268" i="5" s="1"/>
  <c r="M268" i="5" l="1"/>
  <c r="O268" i="5" s="1"/>
  <c r="N269" i="5" s="1"/>
  <c r="L269" i="5" s="1"/>
  <c r="M269" i="5" l="1"/>
  <c r="O269" i="5" s="1"/>
  <c r="N270" i="5" s="1"/>
  <c r="L270" i="5" s="1"/>
  <c r="M270" i="5" l="1"/>
  <c r="O270" i="5" s="1"/>
  <c r="N271" i="5" s="1"/>
  <c r="L271" i="5" s="1"/>
  <c r="R21" i="5"/>
  <c r="M271" i="5" l="1"/>
  <c r="O271" i="5" s="1"/>
  <c r="N272" i="5" s="1"/>
  <c r="L272" i="5" s="1"/>
  <c r="M272" i="5" l="1"/>
  <c r="O272" i="5" s="1"/>
  <c r="N273" i="5" s="1"/>
  <c r="L273" i="5" s="1"/>
  <c r="M273" i="5" l="1"/>
  <c r="O273" i="5" s="1"/>
  <c r="N274" i="5" s="1"/>
  <c r="L274" i="5" s="1"/>
  <c r="M274" i="5" l="1"/>
  <c r="O274" i="5" s="1"/>
  <c r="N275" i="5" s="1"/>
  <c r="L275" i="5" s="1"/>
  <c r="M275" i="5" l="1"/>
  <c r="O275" i="5" s="1"/>
  <c r="N276" i="5" s="1"/>
  <c r="L276" i="5" s="1"/>
  <c r="M276" i="5" l="1"/>
  <c r="O276" i="5" s="1"/>
  <c r="N277" i="5" s="1"/>
  <c r="L277" i="5" s="1"/>
  <c r="M277" i="5" l="1"/>
  <c r="O277" i="5" s="1"/>
  <c r="N278" i="5" s="1"/>
  <c r="L278" i="5" s="1"/>
  <c r="U25" i="5" s="1"/>
  <c r="M278" i="5" l="1"/>
  <c r="O278" i="5" s="1"/>
  <c r="N279" i="5" s="1"/>
  <c r="L279" i="5" s="1"/>
  <c r="M279" i="5" l="1"/>
  <c r="O279" i="5" s="1"/>
  <c r="N280" i="5" s="1"/>
  <c r="L280" i="5" s="1"/>
  <c r="M280" i="5" l="1"/>
  <c r="O280" i="5" s="1"/>
  <c r="N281" i="5" s="1"/>
  <c r="L281" i="5" s="1"/>
  <c r="M281" i="5" l="1"/>
  <c r="O281" i="5" s="1"/>
  <c r="N282" i="5" s="1"/>
  <c r="L282" i="5" s="1"/>
  <c r="M282" i="5" l="1"/>
  <c r="O282" i="5" s="1"/>
  <c r="N283" i="5" s="1"/>
  <c r="L283" i="5" s="1"/>
  <c r="R22" i="5"/>
  <c r="M283" i="5" l="1"/>
  <c r="O283" i="5" s="1"/>
  <c r="N284" i="5" s="1"/>
  <c r="L284" i="5" s="1"/>
  <c r="M284" i="5" l="1"/>
  <c r="O284" i="5" s="1"/>
  <c r="N285" i="5" s="1"/>
  <c r="L285" i="5" s="1"/>
  <c r="M285" i="5" l="1"/>
  <c r="O285" i="5" s="1"/>
  <c r="N286" i="5" s="1"/>
  <c r="L286" i="5" s="1"/>
  <c r="M286" i="5" l="1"/>
  <c r="O286" i="5" s="1"/>
  <c r="N287" i="5" s="1"/>
  <c r="L287" i="5" s="1"/>
  <c r="M287" i="5" l="1"/>
  <c r="O287" i="5" s="1"/>
  <c r="N288" i="5" s="1"/>
  <c r="L288" i="5" s="1"/>
  <c r="M288" i="5" l="1"/>
  <c r="O288" i="5" s="1"/>
  <c r="N289" i="5" s="1"/>
  <c r="L289" i="5" s="1"/>
  <c r="M289" i="5" l="1"/>
  <c r="O289" i="5" s="1"/>
  <c r="N290" i="5" s="1"/>
  <c r="L290" i="5" s="1"/>
  <c r="U26" i="5" s="1"/>
  <c r="M290" i="5" l="1"/>
  <c r="O290" i="5" s="1"/>
  <c r="N291" i="5" s="1"/>
  <c r="L291" i="5" s="1"/>
  <c r="M291" i="5" l="1"/>
  <c r="O291" i="5" s="1"/>
  <c r="N292" i="5" s="1"/>
  <c r="L292" i="5" s="1"/>
  <c r="M292" i="5" l="1"/>
  <c r="O292" i="5" s="1"/>
  <c r="N293" i="5" s="1"/>
  <c r="L293" i="5" s="1"/>
  <c r="M293" i="5" l="1"/>
  <c r="O293" i="5" s="1"/>
  <c r="N294" i="5" s="1"/>
  <c r="L294" i="5" s="1"/>
  <c r="M294" i="5" l="1"/>
  <c r="O294" i="5" s="1"/>
  <c r="N295" i="5" s="1"/>
  <c r="L295" i="5" s="1"/>
  <c r="R23" i="5"/>
  <c r="M295" i="5" l="1"/>
  <c r="O295" i="5" s="1"/>
  <c r="N296" i="5" s="1"/>
  <c r="L296" i="5" s="1"/>
  <c r="M296" i="5" l="1"/>
  <c r="O296" i="5" s="1"/>
  <c r="N297" i="5" s="1"/>
  <c r="L297" i="5" s="1"/>
  <c r="M297" i="5" l="1"/>
  <c r="O297" i="5" s="1"/>
  <c r="N298" i="5" s="1"/>
  <c r="L298" i="5" s="1"/>
  <c r="M298" i="5" l="1"/>
  <c r="O298" i="5" s="1"/>
  <c r="N299" i="5" s="1"/>
  <c r="L299" i="5" s="1"/>
  <c r="M299" i="5" l="1"/>
  <c r="O299" i="5" s="1"/>
  <c r="N300" i="5" s="1"/>
  <c r="L300" i="5" s="1"/>
  <c r="M300" i="5" l="1"/>
  <c r="O300" i="5" s="1"/>
  <c r="N301" i="5" s="1"/>
  <c r="L301" i="5" s="1"/>
  <c r="M301" i="5" l="1"/>
  <c r="O301" i="5" s="1"/>
  <c r="N302" i="5" s="1"/>
  <c r="L302" i="5" s="1"/>
  <c r="U27" i="5" s="1"/>
  <c r="M302" i="5" l="1"/>
  <c r="O302" i="5" s="1"/>
  <c r="N303" i="5" s="1"/>
  <c r="L303" i="5" s="1"/>
  <c r="M303" i="5" l="1"/>
  <c r="O303" i="5" s="1"/>
  <c r="N304" i="5" s="1"/>
  <c r="L304" i="5" s="1"/>
  <c r="M304" i="5" l="1"/>
  <c r="O304" i="5" s="1"/>
  <c r="N305" i="5" s="1"/>
  <c r="L305" i="5" s="1"/>
  <c r="M305" i="5" l="1"/>
  <c r="O305" i="5" s="1"/>
  <c r="N306" i="5" s="1"/>
  <c r="L306" i="5" s="1"/>
  <c r="M306" i="5" l="1"/>
  <c r="O306" i="5" s="1"/>
  <c r="N307" i="5" s="1"/>
  <c r="L307" i="5" s="1"/>
  <c r="R24" i="5"/>
  <c r="M307" i="5" l="1"/>
  <c r="O307" i="5" s="1"/>
  <c r="N308" i="5" s="1"/>
  <c r="L308" i="5" s="1"/>
  <c r="M308" i="5" l="1"/>
  <c r="O308" i="5" s="1"/>
  <c r="N309" i="5" s="1"/>
  <c r="L309" i="5" s="1"/>
  <c r="M309" i="5" l="1"/>
  <c r="O309" i="5" s="1"/>
  <c r="N310" i="5" s="1"/>
  <c r="L310" i="5" s="1"/>
  <c r="M310" i="5" l="1"/>
  <c r="O310" i="5" s="1"/>
  <c r="N311" i="5" s="1"/>
  <c r="L311" i="5" s="1"/>
  <c r="M311" i="5" l="1"/>
  <c r="O311" i="5" s="1"/>
  <c r="N312" i="5" s="1"/>
  <c r="L312" i="5" s="1"/>
  <c r="M312" i="5" l="1"/>
  <c r="O312" i="5" s="1"/>
  <c r="N313" i="5" s="1"/>
  <c r="L313" i="5" s="1"/>
  <c r="M313" i="5" l="1"/>
  <c r="O313" i="5" s="1"/>
  <c r="N314" i="5" s="1"/>
  <c r="L314" i="5" s="1"/>
  <c r="U28" i="5" s="1"/>
  <c r="M314" i="5" l="1"/>
  <c r="O314" i="5" s="1"/>
  <c r="N315" i="5" s="1"/>
  <c r="L315" i="5" s="1"/>
  <c r="M315" i="5" l="1"/>
  <c r="O315" i="5" s="1"/>
  <c r="N316" i="5" s="1"/>
  <c r="L316" i="5" s="1"/>
  <c r="M316" i="5" l="1"/>
  <c r="O316" i="5" s="1"/>
  <c r="N317" i="5" s="1"/>
  <c r="L317" i="5" s="1"/>
  <c r="M317" i="5" l="1"/>
  <c r="O317" i="5" s="1"/>
  <c r="N318" i="5" s="1"/>
  <c r="L318" i="5" s="1"/>
  <c r="M318" i="5" l="1"/>
  <c r="O318" i="5" s="1"/>
  <c r="N319" i="5" s="1"/>
  <c r="L319" i="5" s="1"/>
  <c r="R25" i="5"/>
  <c r="M319" i="5" l="1"/>
  <c r="O319" i="5" s="1"/>
  <c r="N320" i="5" s="1"/>
  <c r="L320" i="5" s="1"/>
  <c r="M320" i="5" l="1"/>
  <c r="O320" i="5" s="1"/>
  <c r="N321" i="5" s="1"/>
  <c r="L321" i="5" s="1"/>
  <c r="M321" i="5" l="1"/>
  <c r="O321" i="5" s="1"/>
  <c r="N322" i="5" s="1"/>
  <c r="L322" i="5" s="1"/>
  <c r="M322" i="5" l="1"/>
  <c r="O322" i="5" s="1"/>
  <c r="N323" i="5" s="1"/>
  <c r="L323" i="5" s="1"/>
  <c r="M323" i="5" l="1"/>
  <c r="O323" i="5" s="1"/>
  <c r="N324" i="5" s="1"/>
  <c r="L324" i="5" s="1"/>
  <c r="M324" i="5" l="1"/>
  <c r="O324" i="5" s="1"/>
  <c r="N325" i="5" s="1"/>
  <c r="L325" i="5" s="1"/>
  <c r="M325" i="5" l="1"/>
  <c r="O325" i="5" s="1"/>
  <c r="N326" i="5" s="1"/>
  <c r="L326" i="5" s="1"/>
  <c r="U29" i="5" s="1"/>
  <c r="M326" i="5" l="1"/>
  <c r="O326" i="5" s="1"/>
  <c r="N327" i="5" s="1"/>
  <c r="L327" i="5" s="1"/>
  <c r="M327" i="5" l="1"/>
  <c r="O327" i="5" s="1"/>
  <c r="N328" i="5" s="1"/>
  <c r="L328" i="5" s="1"/>
  <c r="M328" i="5" l="1"/>
  <c r="O328" i="5" s="1"/>
  <c r="N329" i="5" s="1"/>
  <c r="L329" i="5" s="1"/>
  <c r="M329" i="5" l="1"/>
  <c r="O329" i="5" s="1"/>
  <c r="N330" i="5" s="1"/>
  <c r="L330" i="5" s="1"/>
  <c r="M330" i="5" l="1"/>
  <c r="O330" i="5" s="1"/>
  <c r="N331" i="5" s="1"/>
  <c r="L331" i="5" s="1"/>
  <c r="R26" i="5"/>
  <c r="M331" i="5" l="1"/>
  <c r="O331" i="5" s="1"/>
  <c r="N332" i="5" s="1"/>
  <c r="L332" i="5" s="1"/>
  <c r="M332" i="5" l="1"/>
  <c r="O332" i="5" s="1"/>
  <c r="N333" i="5" s="1"/>
  <c r="L333" i="5" s="1"/>
  <c r="M333" i="5" l="1"/>
  <c r="O333" i="5" s="1"/>
  <c r="N334" i="5" s="1"/>
  <c r="L334" i="5" s="1"/>
  <c r="M334" i="5" l="1"/>
  <c r="O334" i="5" s="1"/>
  <c r="N335" i="5" s="1"/>
  <c r="L335" i="5" s="1"/>
  <c r="M335" i="5" l="1"/>
  <c r="O335" i="5" s="1"/>
  <c r="N336" i="5" s="1"/>
  <c r="L336" i="5" s="1"/>
  <c r="M336" i="5" l="1"/>
  <c r="O336" i="5" s="1"/>
  <c r="N337" i="5" s="1"/>
  <c r="L337" i="5" s="1"/>
  <c r="M337" i="5" l="1"/>
  <c r="O337" i="5" s="1"/>
  <c r="N338" i="5" s="1"/>
  <c r="L338" i="5" s="1"/>
  <c r="U30" i="5" s="1"/>
  <c r="M338" i="5" l="1"/>
  <c r="O338" i="5" s="1"/>
  <c r="N339" i="5" s="1"/>
  <c r="L339" i="5" s="1"/>
  <c r="M339" i="5" l="1"/>
  <c r="O339" i="5" s="1"/>
  <c r="N340" i="5" s="1"/>
  <c r="L340" i="5" s="1"/>
  <c r="M340" i="5" l="1"/>
  <c r="O340" i="5" s="1"/>
  <c r="N341" i="5" s="1"/>
  <c r="L341" i="5" s="1"/>
  <c r="M341" i="5" l="1"/>
  <c r="O341" i="5" s="1"/>
  <c r="N342" i="5" s="1"/>
  <c r="L342" i="5" s="1"/>
  <c r="M342" i="5" l="1"/>
  <c r="O342" i="5" s="1"/>
  <c r="N343" i="5" s="1"/>
  <c r="L343" i="5" s="1"/>
  <c r="R27" i="5"/>
  <c r="M343" i="5" l="1"/>
  <c r="O343" i="5" s="1"/>
  <c r="N344" i="5" s="1"/>
  <c r="L344" i="5" s="1"/>
  <c r="M344" i="5" l="1"/>
  <c r="O344" i="5" s="1"/>
  <c r="N345" i="5" s="1"/>
  <c r="L345" i="5" s="1"/>
  <c r="M345" i="5" l="1"/>
  <c r="O345" i="5" s="1"/>
  <c r="N346" i="5" s="1"/>
  <c r="L346" i="5" s="1"/>
  <c r="M346" i="5" l="1"/>
  <c r="O346" i="5" s="1"/>
  <c r="N347" i="5" s="1"/>
  <c r="L347" i="5" s="1"/>
  <c r="M347" i="5" l="1"/>
  <c r="O347" i="5" s="1"/>
  <c r="N348" i="5" s="1"/>
  <c r="L348" i="5" s="1"/>
  <c r="M348" i="5" l="1"/>
  <c r="O348" i="5" s="1"/>
  <c r="N349" i="5" s="1"/>
  <c r="L349" i="5" s="1"/>
  <c r="M349" i="5" l="1"/>
  <c r="O349" i="5" s="1"/>
  <c r="N350" i="5" s="1"/>
  <c r="L350" i="5" s="1"/>
  <c r="U31" i="5" s="1"/>
  <c r="M350" i="5" l="1"/>
  <c r="O350" i="5" s="1"/>
  <c r="N351" i="5" s="1"/>
  <c r="L351" i="5" s="1"/>
  <c r="M351" i="5" l="1"/>
  <c r="O351" i="5" s="1"/>
  <c r="N352" i="5" s="1"/>
  <c r="L352" i="5" s="1"/>
  <c r="M352" i="5" l="1"/>
  <c r="O352" i="5" s="1"/>
  <c r="N353" i="5" s="1"/>
  <c r="L353" i="5" s="1"/>
  <c r="M353" i="5" l="1"/>
  <c r="O353" i="5" s="1"/>
  <c r="N354" i="5" s="1"/>
  <c r="L354" i="5" s="1"/>
  <c r="M354" i="5" l="1"/>
  <c r="O354" i="5" s="1"/>
  <c r="N355" i="5" s="1"/>
  <c r="L355" i="5" s="1"/>
  <c r="R28" i="5"/>
  <c r="M355" i="5" l="1"/>
  <c r="O355" i="5" s="1"/>
  <c r="N356" i="5" s="1"/>
  <c r="L356" i="5" s="1"/>
  <c r="M356" i="5" l="1"/>
  <c r="O356" i="5" s="1"/>
  <c r="N357" i="5" s="1"/>
  <c r="L357" i="5" s="1"/>
  <c r="M357" i="5" l="1"/>
  <c r="O357" i="5" s="1"/>
  <c r="N358" i="5" s="1"/>
  <c r="L358" i="5" s="1"/>
  <c r="M358" i="5" l="1"/>
  <c r="O358" i="5" s="1"/>
  <c r="N359" i="5" s="1"/>
  <c r="L359" i="5" s="1"/>
  <c r="M359" i="5" l="1"/>
  <c r="O359" i="5" s="1"/>
  <c r="N360" i="5" s="1"/>
  <c r="L360" i="5" s="1"/>
  <c r="M360" i="5" l="1"/>
  <c r="O360" i="5" s="1"/>
  <c r="N361" i="5" s="1"/>
  <c r="L361" i="5" s="1"/>
  <c r="M361" i="5" l="1"/>
  <c r="O361" i="5" s="1"/>
  <c r="N362" i="5" s="1"/>
  <c r="L362" i="5" s="1"/>
  <c r="U32" i="5" s="1"/>
  <c r="M362" i="5" l="1"/>
  <c r="O362" i="5" s="1"/>
  <c r="N363" i="5" s="1"/>
  <c r="L363" i="5" s="1"/>
  <c r="M363" i="5" l="1"/>
  <c r="O363" i="5" s="1"/>
  <c r="N364" i="5" s="1"/>
  <c r="L364" i="5" s="1"/>
  <c r="M364" i="5" l="1"/>
  <c r="O364" i="5" s="1"/>
  <c r="N365" i="5" s="1"/>
  <c r="L365" i="5" s="1"/>
  <c r="M365" i="5" l="1"/>
  <c r="O365" i="5" s="1"/>
  <c r="N366" i="5" s="1"/>
  <c r="L366" i="5" s="1"/>
  <c r="M366" i="5" l="1"/>
  <c r="O366" i="5" s="1"/>
  <c r="N367" i="5" s="1"/>
  <c r="L367" i="5" s="1"/>
  <c r="R29" i="5"/>
  <c r="M367" i="5" l="1"/>
  <c r="O367" i="5" s="1"/>
  <c r="N368" i="5" s="1"/>
  <c r="L368" i="5" s="1"/>
  <c r="M368" i="5" l="1"/>
  <c r="O368" i="5" s="1"/>
  <c r="N369" i="5" s="1"/>
  <c r="L369" i="5" s="1"/>
  <c r="M369" i="5" l="1"/>
  <c r="O369" i="5" s="1"/>
  <c r="N370" i="5" s="1"/>
  <c r="L370" i="5" s="1"/>
  <c r="M370" i="5" l="1"/>
  <c r="O370" i="5" s="1"/>
  <c r="N371" i="5" s="1"/>
  <c r="L371" i="5" s="1"/>
  <c r="M371" i="5" l="1"/>
  <c r="O371" i="5" s="1"/>
  <c r="N372" i="5" s="1"/>
  <c r="L372" i="5" s="1"/>
  <c r="M372" i="5" l="1"/>
  <c r="O372" i="5" s="1"/>
  <c r="N373" i="5" s="1"/>
  <c r="L373" i="5" s="1"/>
  <c r="M373" i="5" l="1"/>
  <c r="O373" i="5" s="1"/>
  <c r="N374" i="5" s="1"/>
  <c r="L374" i="5" s="1"/>
  <c r="U33" i="5" s="1"/>
  <c r="M374" i="5" l="1"/>
  <c r="O374" i="5" s="1"/>
  <c r="N375" i="5" s="1"/>
  <c r="L375" i="5" s="1"/>
  <c r="M375" i="5" l="1"/>
  <c r="O375" i="5" s="1"/>
  <c r="N376" i="5" s="1"/>
  <c r="L376" i="5" s="1"/>
  <c r="M376" i="5" l="1"/>
  <c r="O376" i="5" s="1"/>
  <c r="N377" i="5" s="1"/>
  <c r="L377" i="5" s="1"/>
  <c r="M377" i="5" l="1"/>
  <c r="O377" i="5" s="1"/>
  <c r="N378" i="5" s="1"/>
  <c r="L378" i="5" s="1"/>
  <c r="M378" i="5" l="1"/>
  <c r="O378" i="5" s="1"/>
  <c r="N379" i="5" s="1"/>
  <c r="L379" i="5" s="1"/>
  <c r="R30" i="5"/>
  <c r="M379" i="5" l="1"/>
  <c r="O379" i="5" s="1"/>
  <c r="N380" i="5" s="1"/>
  <c r="L380" i="5" s="1"/>
  <c r="M380" i="5" l="1"/>
  <c r="O380" i="5" s="1"/>
  <c r="N381" i="5" s="1"/>
  <c r="L381" i="5" s="1"/>
  <c r="M381" i="5" l="1"/>
  <c r="O381" i="5" s="1"/>
  <c r="N382" i="5" s="1"/>
  <c r="L382" i="5" s="1"/>
  <c r="M382" i="5" l="1"/>
  <c r="O382" i="5" s="1"/>
  <c r="N383" i="5" s="1"/>
  <c r="L383" i="5" s="1"/>
  <c r="M383" i="5" l="1"/>
  <c r="O383" i="5" s="1"/>
  <c r="N384" i="5" s="1"/>
  <c r="L384" i="5" s="1"/>
  <c r="M384" i="5" l="1"/>
  <c r="O384" i="5" s="1"/>
  <c r="N385" i="5" s="1"/>
  <c r="L385" i="5" s="1"/>
  <c r="M385" i="5" l="1"/>
  <c r="O385" i="5" s="1"/>
  <c r="N386" i="5" s="1"/>
  <c r="L386" i="5" s="1"/>
  <c r="U34" i="5" s="1"/>
  <c r="M386" i="5" l="1"/>
  <c r="O386" i="5" s="1"/>
  <c r="N387" i="5" s="1"/>
  <c r="L387" i="5" s="1"/>
  <c r="M387" i="5" l="1"/>
  <c r="O387" i="5" s="1"/>
  <c r="N388" i="5" s="1"/>
  <c r="L388" i="5" s="1"/>
  <c r="M388" i="5" l="1"/>
  <c r="O388" i="5" s="1"/>
  <c r="N389" i="5" s="1"/>
  <c r="L389" i="5" s="1"/>
  <c r="M389" i="5" l="1"/>
  <c r="O389" i="5" s="1"/>
  <c r="N390" i="5" s="1"/>
  <c r="L390" i="5" s="1"/>
  <c r="M390" i="5" l="1"/>
  <c r="O390" i="5" s="1"/>
  <c r="N391" i="5" s="1"/>
  <c r="L391" i="5" s="1"/>
  <c r="R31" i="5"/>
  <c r="M391" i="5" l="1"/>
  <c r="O391" i="5" s="1"/>
  <c r="N392" i="5" s="1"/>
  <c r="L392" i="5" s="1"/>
  <c r="M392" i="5" l="1"/>
  <c r="O392" i="5" s="1"/>
  <c r="N393" i="5" s="1"/>
  <c r="L393" i="5" s="1"/>
  <c r="M393" i="5" l="1"/>
  <c r="O393" i="5" s="1"/>
  <c r="N394" i="5" s="1"/>
  <c r="L394" i="5" s="1"/>
  <c r="M394" i="5" l="1"/>
  <c r="O394" i="5" s="1"/>
  <c r="N395" i="5" s="1"/>
  <c r="L395" i="5" s="1"/>
  <c r="M395" i="5" l="1"/>
  <c r="O395" i="5" s="1"/>
  <c r="N396" i="5" s="1"/>
  <c r="L396" i="5" s="1"/>
  <c r="M396" i="5" l="1"/>
  <c r="O396" i="5" s="1"/>
  <c r="N397" i="5" s="1"/>
  <c r="L397" i="5" s="1"/>
  <c r="M397" i="5" l="1"/>
  <c r="O397" i="5" s="1"/>
  <c r="N398" i="5" s="1"/>
  <c r="L398" i="5" s="1"/>
  <c r="U35" i="5" s="1"/>
  <c r="M398" i="5" l="1"/>
  <c r="O398" i="5" s="1"/>
  <c r="N399" i="5" s="1"/>
  <c r="L399" i="5" s="1"/>
  <c r="M399" i="5" l="1"/>
  <c r="O399" i="5" s="1"/>
  <c r="N400" i="5" s="1"/>
  <c r="L400" i="5" s="1"/>
  <c r="M400" i="5" l="1"/>
  <c r="O400" i="5" s="1"/>
  <c r="N401" i="5" s="1"/>
  <c r="L401" i="5" s="1"/>
  <c r="M401" i="5" l="1"/>
  <c r="O401" i="5" s="1"/>
  <c r="N402" i="5" s="1"/>
  <c r="L402" i="5" s="1"/>
  <c r="M402" i="5" l="1"/>
  <c r="O402" i="5" s="1"/>
  <c r="N403" i="5" s="1"/>
  <c r="L403" i="5" s="1"/>
  <c r="R32" i="5"/>
  <c r="M403" i="5" l="1"/>
  <c r="O403" i="5" s="1"/>
  <c r="N404" i="5" s="1"/>
  <c r="L404" i="5" s="1"/>
  <c r="M404" i="5" l="1"/>
  <c r="O404" i="5" s="1"/>
  <c r="N405" i="5" s="1"/>
  <c r="L405" i="5" s="1"/>
  <c r="M405" i="5" l="1"/>
  <c r="O405" i="5" s="1"/>
  <c r="N406" i="5" s="1"/>
  <c r="L406" i="5" s="1"/>
  <c r="M406" i="5" l="1"/>
  <c r="O406" i="5" s="1"/>
  <c r="N407" i="5" s="1"/>
  <c r="L407" i="5" s="1"/>
  <c r="M407" i="5" l="1"/>
  <c r="O407" i="5" s="1"/>
  <c r="N408" i="5" s="1"/>
  <c r="L408" i="5" s="1"/>
  <c r="M408" i="5" l="1"/>
  <c r="O408" i="5" s="1"/>
  <c r="N409" i="5" s="1"/>
  <c r="L409" i="5" s="1"/>
  <c r="M409" i="5" l="1"/>
  <c r="O409" i="5" s="1"/>
  <c r="N410" i="5" s="1"/>
  <c r="L410" i="5" s="1"/>
  <c r="U36" i="5" s="1"/>
  <c r="M410" i="5" l="1"/>
  <c r="O410" i="5" s="1"/>
  <c r="N411" i="5" s="1"/>
  <c r="L411" i="5" s="1"/>
  <c r="M411" i="5" l="1"/>
  <c r="O411" i="5" s="1"/>
  <c r="N412" i="5" s="1"/>
  <c r="L412" i="5" s="1"/>
  <c r="M412" i="5" l="1"/>
  <c r="O412" i="5" s="1"/>
  <c r="N413" i="5" s="1"/>
  <c r="L413" i="5" s="1"/>
  <c r="M413" i="5" l="1"/>
  <c r="O413" i="5" s="1"/>
  <c r="N414" i="5" s="1"/>
  <c r="L414" i="5" s="1"/>
  <c r="M414" i="5" l="1"/>
  <c r="O414" i="5" s="1"/>
  <c r="N415" i="5" s="1"/>
  <c r="L415" i="5" s="1"/>
  <c r="R33" i="5"/>
  <c r="M415" i="5" l="1"/>
  <c r="O415" i="5" s="1"/>
  <c r="N416" i="5" s="1"/>
  <c r="L416" i="5" s="1"/>
  <c r="M416" i="5" l="1"/>
  <c r="O416" i="5" s="1"/>
  <c r="N417" i="5" s="1"/>
  <c r="L417" i="5" s="1"/>
  <c r="M417" i="5" l="1"/>
  <c r="O417" i="5" s="1"/>
  <c r="N418" i="5" s="1"/>
  <c r="L418" i="5" s="1"/>
  <c r="M418" i="5" l="1"/>
  <c r="O418" i="5" s="1"/>
  <c r="N419" i="5" s="1"/>
  <c r="L419" i="5" s="1"/>
  <c r="M419" i="5" l="1"/>
  <c r="O419" i="5" s="1"/>
  <c r="N420" i="5" s="1"/>
  <c r="L420" i="5" s="1"/>
  <c r="M420" i="5" l="1"/>
  <c r="O420" i="5" s="1"/>
  <c r="N421" i="5" s="1"/>
  <c r="L421" i="5" s="1"/>
  <c r="M421" i="5" l="1"/>
  <c r="O421" i="5" s="1"/>
  <c r="N422" i="5" s="1"/>
  <c r="L422" i="5" s="1"/>
  <c r="U37" i="5" l="1"/>
  <c r="M422" i="5"/>
  <c r="O422" i="5" s="1"/>
  <c r="R37" i="5" s="1"/>
  <c r="U38" i="5" l="1"/>
  <c r="U39" i="5" s="1"/>
  <c r="U40" i="5" s="1"/>
  <c r="U41" i="5" s="1"/>
  <c r="U42" i="5" s="1"/>
  <c r="U43" i="5" s="1"/>
  <c r="U44" i="5" s="1"/>
  <c r="U45" i="5" s="1"/>
  <c r="U46" i="5" s="1"/>
  <c r="U47" i="5" s="1"/>
  <c r="U48" i="5" s="1"/>
  <c r="U49" i="5" s="1"/>
  <c r="U50" i="5" s="1"/>
  <c r="U51" i="5" s="1"/>
  <c r="U52" i="5" s="1"/>
  <c r="E742" i="5" s="1"/>
  <c r="E196" i="5"/>
  <c r="E658" i="5"/>
  <c r="E952" i="5"/>
  <c r="E49" i="5"/>
  <c r="E406" i="5"/>
  <c r="E679" i="5"/>
  <c r="E427" i="5"/>
  <c r="E532" i="5"/>
  <c r="E973" i="5"/>
  <c r="E511" i="5"/>
  <c r="E280" i="5"/>
  <c r="E847" i="5"/>
  <c r="E385" i="5"/>
  <c r="E70" i="5"/>
  <c r="E763" i="5"/>
  <c r="E301" i="5"/>
  <c r="E343" i="5"/>
  <c r="E574" i="5"/>
  <c r="E616" i="5"/>
  <c r="E889" i="5"/>
  <c r="E364" i="5"/>
  <c r="E175" i="5"/>
  <c r="E700" i="5"/>
  <c r="E637" i="5"/>
  <c r="E1015" i="5"/>
  <c r="E91" i="5"/>
  <c r="E553" i="5"/>
  <c r="E469" i="5"/>
  <c r="R34" i="5"/>
  <c r="E826" i="5" l="1"/>
  <c r="E784" i="5"/>
  <c r="E112" i="5"/>
  <c r="E154" i="5"/>
  <c r="E490" i="5"/>
  <c r="E1036" i="5"/>
  <c r="E28" i="5"/>
  <c r="E259" i="5"/>
  <c r="E805" i="5"/>
  <c r="E217" i="5"/>
  <c r="E238" i="5"/>
  <c r="E595" i="5"/>
  <c r="E868" i="5"/>
  <c r="E448" i="5"/>
  <c r="E322" i="5"/>
  <c r="E133" i="5"/>
  <c r="E137" i="5" s="1"/>
  <c r="E994" i="5"/>
  <c r="E910" i="5"/>
  <c r="F7" i="4"/>
  <c r="F7" i="8" s="1"/>
  <c r="E721" i="5"/>
  <c r="E725" i="5" s="1"/>
  <c r="E7" i="5"/>
  <c r="E931" i="5"/>
  <c r="E935" i="5" s="1"/>
  <c r="E95" i="5"/>
  <c r="E92" i="9"/>
  <c r="E96" i="9" s="1"/>
  <c r="E578" i="5"/>
  <c r="E575" i="9"/>
  <c r="E579" i="9" s="1"/>
  <c r="E74" i="5"/>
  <c r="E71" i="9"/>
  <c r="E75" i="9" s="1"/>
  <c r="E284" i="5"/>
  <c r="E281" i="9"/>
  <c r="E285" i="9" s="1"/>
  <c r="E977" i="5"/>
  <c r="E974" i="9"/>
  <c r="E978" i="9" s="1"/>
  <c r="E431" i="5"/>
  <c r="E428" i="9"/>
  <c r="E432" i="9" s="1"/>
  <c r="E410" i="5"/>
  <c r="E407" i="9"/>
  <c r="E411" i="9" s="1"/>
  <c r="E956" i="5"/>
  <c r="E953" i="9"/>
  <c r="E957" i="9" s="1"/>
  <c r="E452" i="5"/>
  <c r="E449" i="9"/>
  <c r="E453" i="9" s="1"/>
  <c r="E326" i="5"/>
  <c r="E323" i="9"/>
  <c r="E327" i="9" s="1"/>
  <c r="E179" i="5"/>
  <c r="E176" i="9"/>
  <c r="E180" i="9" s="1"/>
  <c r="E1019" i="5"/>
  <c r="E1016" i="9"/>
  <c r="E1020" i="9" s="1"/>
  <c r="E368" i="5"/>
  <c r="E365" i="9"/>
  <c r="E369" i="9" s="1"/>
  <c r="E347" i="5"/>
  <c r="E344" i="9"/>
  <c r="E348" i="9" s="1"/>
  <c r="E389" i="5"/>
  <c r="E386" i="9"/>
  <c r="E390" i="9" s="1"/>
  <c r="E32" i="5"/>
  <c r="E29" i="9"/>
  <c r="E33" i="9" s="1"/>
  <c r="E263" i="5"/>
  <c r="E260" i="9"/>
  <c r="E264" i="9" s="1"/>
  <c r="E809" i="5"/>
  <c r="E806" i="9"/>
  <c r="E810" i="9" s="1"/>
  <c r="E221" i="5"/>
  <c r="E218" i="9"/>
  <c r="E222" i="9" s="1"/>
  <c r="E872" i="5"/>
  <c r="E869" i="9"/>
  <c r="E873" i="9" s="1"/>
  <c r="E746" i="5"/>
  <c r="E743" i="9"/>
  <c r="E747" i="9" s="1"/>
  <c r="E1040" i="5"/>
  <c r="E1037" i="9"/>
  <c r="E1041" i="9" s="1"/>
  <c r="E599" i="5"/>
  <c r="E596" i="9"/>
  <c r="E600" i="9" s="1"/>
  <c r="E473" i="5"/>
  <c r="E470" i="9"/>
  <c r="E474" i="9" s="1"/>
  <c r="E893" i="5"/>
  <c r="E890" i="9"/>
  <c r="E894" i="9" s="1"/>
  <c r="E305" i="5"/>
  <c r="E302" i="9"/>
  <c r="E306" i="9" s="1"/>
  <c r="E851" i="5"/>
  <c r="E848" i="9"/>
  <c r="E852" i="9" s="1"/>
  <c r="E515" i="5"/>
  <c r="E512" i="9"/>
  <c r="E516" i="9" s="1"/>
  <c r="E536" i="5"/>
  <c r="E533" i="9"/>
  <c r="E537" i="9" s="1"/>
  <c r="E683" i="5"/>
  <c r="E680" i="9"/>
  <c r="E684" i="9" s="1"/>
  <c r="E53" i="5"/>
  <c r="E50" i="9"/>
  <c r="E54" i="9" s="1"/>
  <c r="E242" i="5"/>
  <c r="E239" i="9"/>
  <c r="E243" i="9" s="1"/>
  <c r="E134" i="9"/>
  <c r="E138" i="9" s="1"/>
  <c r="E998" i="5"/>
  <c r="E995" i="9"/>
  <c r="E999" i="9" s="1"/>
  <c r="E914" i="5"/>
  <c r="E911" i="9"/>
  <c r="E915" i="9" s="1"/>
  <c r="E641" i="5"/>
  <c r="E638" i="9"/>
  <c r="E642" i="9" s="1"/>
  <c r="E557" i="5"/>
  <c r="E554" i="9"/>
  <c r="E558" i="9" s="1"/>
  <c r="E704" i="5"/>
  <c r="E701" i="9"/>
  <c r="E705" i="9" s="1"/>
  <c r="E620" i="5"/>
  <c r="E617" i="9"/>
  <c r="E621" i="9" s="1"/>
  <c r="E767" i="5"/>
  <c r="E764" i="9"/>
  <c r="E768" i="9" s="1"/>
  <c r="E830" i="5"/>
  <c r="E827" i="9"/>
  <c r="E831" i="9" s="1"/>
  <c r="E788" i="5"/>
  <c r="E785" i="9"/>
  <c r="E789" i="9" s="1"/>
  <c r="E116" i="5"/>
  <c r="E113" i="9"/>
  <c r="E117" i="9" s="1"/>
  <c r="E158" i="5"/>
  <c r="E155" i="9"/>
  <c r="E159" i="9" s="1"/>
  <c r="E494" i="5"/>
  <c r="E491" i="9"/>
  <c r="E495" i="9" s="1"/>
  <c r="E662" i="5"/>
  <c r="E659" i="9"/>
  <c r="E663" i="9" s="1"/>
  <c r="E200" i="5"/>
  <c r="E197" i="9"/>
  <c r="E201" i="9" s="1"/>
  <c r="R35" i="5"/>
  <c r="E722" i="9" l="1"/>
  <c r="E726" i="9" s="1"/>
  <c r="E11" i="5"/>
  <c r="E8" i="9"/>
  <c r="F11" i="4"/>
  <c r="E932" i="9"/>
  <c r="E936" i="9" s="1"/>
  <c r="F11" i="8"/>
  <c r="E12" i="9"/>
  <c r="R36" i="5"/>
  <c r="E222" i="5" s="1"/>
  <c r="F12" i="4" l="1"/>
  <c r="F12" i="8" s="1"/>
  <c r="E12" i="5"/>
  <c r="E96" i="5"/>
  <c r="E224" i="5"/>
  <c r="E225" i="5" s="1"/>
  <c r="E230" i="5" s="1"/>
  <c r="X13" i="5" s="1"/>
  <c r="E223" i="9"/>
  <c r="E226" i="9" s="1"/>
  <c r="E227" i="9" s="1"/>
  <c r="P12" i="9" s="1"/>
  <c r="E663" i="5"/>
  <c r="E516" i="5"/>
  <c r="E747" i="5"/>
  <c r="E138" i="5"/>
  <c r="E978" i="5"/>
  <c r="E621" i="5"/>
  <c r="E894" i="5"/>
  <c r="E159" i="5"/>
  <c r="E327" i="5"/>
  <c r="E957" i="5"/>
  <c r="E1041" i="5"/>
  <c r="E453" i="5"/>
  <c r="E810" i="5"/>
  <c r="E642" i="5"/>
  <c r="E75" i="5"/>
  <c r="E558" i="5"/>
  <c r="E348" i="5"/>
  <c r="E999" i="5"/>
  <c r="E579" i="5"/>
  <c r="E285" i="5"/>
  <c r="E432" i="5"/>
  <c r="E873" i="5"/>
  <c r="E600" i="5"/>
  <c r="E201" i="5"/>
  <c r="E203" i="5" s="1"/>
  <c r="E204" i="5" s="1"/>
  <c r="E209" i="5" s="1"/>
  <c r="E495" i="5"/>
  <c r="E936" i="5"/>
  <c r="E180" i="5"/>
  <c r="E705" i="5"/>
  <c r="E1020" i="5"/>
  <c r="E915" i="5"/>
  <c r="E264" i="5"/>
  <c r="E537" i="5"/>
  <c r="E390" i="5"/>
  <c r="E243" i="5"/>
  <c r="E789" i="5"/>
  <c r="E369" i="5"/>
  <c r="E306" i="5"/>
  <c r="E852" i="5"/>
  <c r="E117" i="5"/>
  <c r="E726" i="5"/>
  <c r="E411" i="5"/>
  <c r="E768" i="5"/>
  <c r="E684" i="5"/>
  <c r="E831" i="5"/>
  <c r="E474" i="5"/>
  <c r="E54" i="5"/>
  <c r="E33" i="5"/>
  <c r="L423" i="5"/>
  <c r="F14" i="4" l="1"/>
  <c r="E14" i="5"/>
  <c r="E15" i="5" s="1"/>
  <c r="E13" i="9"/>
  <c r="E16" i="9" s="1"/>
  <c r="E17" i="9" s="1"/>
  <c r="P2" i="9" s="1"/>
  <c r="F15" i="8"/>
  <c r="F16" i="8" s="1"/>
  <c r="E476" i="5"/>
  <c r="E477" i="5" s="1"/>
  <c r="E482" i="5" s="1"/>
  <c r="X25" i="5" s="1"/>
  <c r="E475" i="9"/>
  <c r="E478" i="9" s="1"/>
  <c r="E479" i="9" s="1"/>
  <c r="P24" i="9" s="1"/>
  <c r="E413" i="5"/>
  <c r="E414" i="5" s="1"/>
  <c r="E419" i="5" s="1"/>
  <c r="X22" i="5" s="1"/>
  <c r="E412" i="9"/>
  <c r="E415" i="9" s="1"/>
  <c r="E416" i="9" s="1"/>
  <c r="P21" i="9" s="1"/>
  <c r="E308" i="5"/>
  <c r="E309" i="5" s="1"/>
  <c r="E314" i="5" s="1"/>
  <c r="X17" i="5" s="1"/>
  <c r="E307" i="9"/>
  <c r="E310" i="9" s="1"/>
  <c r="E311" i="9" s="1"/>
  <c r="P16" i="9" s="1"/>
  <c r="E392" i="5"/>
  <c r="E393" i="5" s="1"/>
  <c r="E398" i="5" s="1"/>
  <c r="X21" i="5" s="1"/>
  <c r="E391" i="9"/>
  <c r="E394" i="9" s="1"/>
  <c r="E395" i="9" s="1"/>
  <c r="P20" i="9" s="1"/>
  <c r="E1022" i="5"/>
  <c r="E1023" i="5" s="1"/>
  <c r="E1028" i="5" s="1"/>
  <c r="X51" i="5" s="1"/>
  <c r="E1021" i="9"/>
  <c r="E1024" i="9" s="1"/>
  <c r="E1025" i="9" s="1"/>
  <c r="P50" i="9" s="1"/>
  <c r="E497" i="5"/>
  <c r="E498" i="5" s="1"/>
  <c r="E503" i="5" s="1"/>
  <c r="X26" i="5" s="1"/>
  <c r="E496" i="9"/>
  <c r="E499" i="9" s="1"/>
  <c r="E500" i="9" s="1"/>
  <c r="P25" i="9" s="1"/>
  <c r="E434" i="5"/>
  <c r="E435" i="5" s="1"/>
  <c r="E440" i="5" s="1"/>
  <c r="X23" i="5" s="1"/>
  <c r="E433" i="9"/>
  <c r="E436" i="9" s="1"/>
  <c r="E437" i="9" s="1"/>
  <c r="P22" i="9" s="1"/>
  <c r="E350" i="5"/>
  <c r="E351" i="5" s="1"/>
  <c r="E356" i="5" s="1"/>
  <c r="X19" i="5" s="1"/>
  <c r="E349" i="9"/>
  <c r="E352" i="9" s="1"/>
  <c r="E353" i="9" s="1"/>
  <c r="P18" i="9" s="1"/>
  <c r="E812" i="5"/>
  <c r="E813" i="5" s="1"/>
  <c r="E818" i="5" s="1"/>
  <c r="X41" i="5" s="1"/>
  <c r="E811" i="9"/>
  <c r="E814" i="9" s="1"/>
  <c r="E815" i="9" s="1"/>
  <c r="P40" i="9" s="1"/>
  <c r="E959" i="5"/>
  <c r="E960" i="5" s="1"/>
  <c r="E965" i="5" s="1"/>
  <c r="X48" i="5" s="1"/>
  <c r="E958" i="9"/>
  <c r="E961" i="9" s="1"/>
  <c r="E962" i="9" s="1"/>
  <c r="P47" i="9" s="1"/>
  <c r="E623" i="5"/>
  <c r="E624" i="5" s="1"/>
  <c r="E629" i="5" s="1"/>
  <c r="X32" i="5" s="1"/>
  <c r="E622" i="9"/>
  <c r="E625" i="9" s="1"/>
  <c r="E626" i="9" s="1"/>
  <c r="P31" i="9" s="1"/>
  <c r="E518" i="5"/>
  <c r="E519" i="5" s="1"/>
  <c r="E524" i="5" s="1"/>
  <c r="X27" i="5" s="1"/>
  <c r="E517" i="9"/>
  <c r="E520" i="9" s="1"/>
  <c r="E521" i="9" s="1"/>
  <c r="P26" i="9" s="1"/>
  <c r="E728" i="5"/>
  <c r="E729" i="5" s="1"/>
  <c r="E734" i="5" s="1"/>
  <c r="X37" i="5" s="1"/>
  <c r="E727" i="9"/>
  <c r="E730" i="9" s="1"/>
  <c r="E731" i="9" s="1"/>
  <c r="P36" i="9" s="1"/>
  <c r="E371" i="5"/>
  <c r="E372" i="5" s="1"/>
  <c r="E377" i="5" s="1"/>
  <c r="X20" i="5" s="1"/>
  <c r="E370" i="9"/>
  <c r="E373" i="9" s="1"/>
  <c r="E374" i="9" s="1"/>
  <c r="P19" i="9" s="1"/>
  <c r="E539" i="5"/>
  <c r="E540" i="5" s="1"/>
  <c r="E545" i="5" s="1"/>
  <c r="X28" i="5" s="1"/>
  <c r="E538" i="9"/>
  <c r="E541" i="9" s="1"/>
  <c r="E542" i="9" s="1"/>
  <c r="P27" i="9" s="1"/>
  <c r="E707" i="5"/>
  <c r="E708" i="5" s="1"/>
  <c r="E713" i="5" s="1"/>
  <c r="X36" i="5" s="1"/>
  <c r="E706" i="9"/>
  <c r="E709" i="9" s="1"/>
  <c r="E710" i="9" s="1"/>
  <c r="P35" i="9" s="1"/>
  <c r="X12" i="5"/>
  <c r="E202" i="9"/>
  <c r="E205" i="9" s="1"/>
  <c r="E206" i="9" s="1"/>
  <c r="P11" i="9" s="1"/>
  <c r="E287" i="5"/>
  <c r="E288" i="5" s="1"/>
  <c r="E293" i="5" s="1"/>
  <c r="X16" i="5" s="1"/>
  <c r="E286" i="9"/>
  <c r="E289" i="9" s="1"/>
  <c r="E290" i="9" s="1"/>
  <c r="P15" i="9" s="1"/>
  <c r="E560" i="5"/>
  <c r="E561" i="5" s="1"/>
  <c r="E566" i="5" s="1"/>
  <c r="X29" i="5" s="1"/>
  <c r="E559" i="9"/>
  <c r="E562" i="9" s="1"/>
  <c r="E563" i="9" s="1"/>
  <c r="P28" i="9" s="1"/>
  <c r="E455" i="5"/>
  <c r="E456" i="5" s="1"/>
  <c r="E461" i="5" s="1"/>
  <c r="X24" i="5" s="1"/>
  <c r="E454" i="9"/>
  <c r="E457" i="9" s="1"/>
  <c r="E458" i="9" s="1"/>
  <c r="P23" i="9" s="1"/>
  <c r="E329" i="5"/>
  <c r="E330" i="5" s="1"/>
  <c r="E335" i="5" s="1"/>
  <c r="X18" i="5" s="1"/>
  <c r="E328" i="9"/>
  <c r="E331" i="9" s="1"/>
  <c r="E332" i="9" s="1"/>
  <c r="P17" i="9" s="1"/>
  <c r="E980" i="5"/>
  <c r="E981" i="5" s="1"/>
  <c r="E986" i="5" s="1"/>
  <c r="X49" i="5" s="1"/>
  <c r="E979" i="9"/>
  <c r="E982" i="9" s="1"/>
  <c r="E983" i="9" s="1"/>
  <c r="P48" i="9" s="1"/>
  <c r="E665" i="5"/>
  <c r="E666" i="5" s="1"/>
  <c r="E671" i="5" s="1"/>
  <c r="X34" i="5" s="1"/>
  <c r="E664" i="9"/>
  <c r="E667" i="9" s="1"/>
  <c r="E668" i="9" s="1"/>
  <c r="P33" i="9" s="1"/>
  <c r="E35" i="5"/>
  <c r="E34" i="9"/>
  <c r="E37" i="9" s="1"/>
  <c r="E38" i="9" s="1"/>
  <c r="P3" i="9" s="1"/>
  <c r="E686" i="5"/>
  <c r="E687" i="5" s="1"/>
  <c r="E692" i="5" s="1"/>
  <c r="X35" i="5" s="1"/>
  <c r="E685" i="9"/>
  <c r="E688" i="9" s="1"/>
  <c r="E689" i="9" s="1"/>
  <c r="P34" i="9" s="1"/>
  <c r="E119" i="5"/>
  <c r="E120" i="5" s="1"/>
  <c r="E125" i="5" s="1"/>
  <c r="X8" i="5" s="1"/>
  <c r="E118" i="9"/>
  <c r="E121" i="9" s="1"/>
  <c r="E122" i="9" s="1"/>
  <c r="P7" i="9" s="1"/>
  <c r="E791" i="5"/>
  <c r="E792" i="5" s="1"/>
  <c r="E797" i="5" s="1"/>
  <c r="X40" i="5" s="1"/>
  <c r="E790" i="9"/>
  <c r="E793" i="9" s="1"/>
  <c r="E794" i="9" s="1"/>
  <c r="P39" i="9" s="1"/>
  <c r="E266" i="5"/>
  <c r="E267" i="5" s="1"/>
  <c r="E272" i="5" s="1"/>
  <c r="X15" i="5" s="1"/>
  <c r="E265" i="9"/>
  <c r="E268" i="9" s="1"/>
  <c r="E269" i="9" s="1"/>
  <c r="P14" i="9" s="1"/>
  <c r="E182" i="5"/>
  <c r="E183" i="5" s="1"/>
  <c r="E188" i="5" s="1"/>
  <c r="X11" i="5" s="1"/>
  <c r="E181" i="9"/>
  <c r="E184" i="9" s="1"/>
  <c r="E185" i="9" s="1"/>
  <c r="P10" i="9" s="1"/>
  <c r="E602" i="5"/>
  <c r="E603" i="5" s="1"/>
  <c r="E608" i="5" s="1"/>
  <c r="X31" i="5" s="1"/>
  <c r="E601" i="9"/>
  <c r="E604" i="9" s="1"/>
  <c r="E605" i="9" s="1"/>
  <c r="P30" i="9" s="1"/>
  <c r="E581" i="5"/>
  <c r="E582" i="5" s="1"/>
  <c r="E587" i="5" s="1"/>
  <c r="X30" i="5" s="1"/>
  <c r="E580" i="9"/>
  <c r="E583" i="9" s="1"/>
  <c r="E584" i="9" s="1"/>
  <c r="P29" i="9" s="1"/>
  <c r="E77" i="5"/>
  <c r="E78" i="5" s="1"/>
  <c r="E83" i="5" s="1"/>
  <c r="X6" i="5" s="1"/>
  <c r="E76" i="9"/>
  <c r="E79" i="9" s="1"/>
  <c r="E80" i="9" s="1"/>
  <c r="P5" i="9" s="1"/>
  <c r="E98" i="5"/>
  <c r="E99" i="5" s="1"/>
  <c r="E104" i="5" s="1"/>
  <c r="X7" i="5" s="1"/>
  <c r="E97" i="9"/>
  <c r="E100" i="9" s="1"/>
  <c r="E101" i="9" s="1"/>
  <c r="P6" i="9" s="1"/>
  <c r="E161" i="5"/>
  <c r="E162" i="5" s="1"/>
  <c r="E167" i="5" s="1"/>
  <c r="X10" i="5" s="1"/>
  <c r="E160" i="9"/>
  <c r="E163" i="9" s="1"/>
  <c r="E164" i="9" s="1"/>
  <c r="P9" i="9" s="1"/>
  <c r="E140" i="5"/>
  <c r="E141" i="5" s="1"/>
  <c r="E146" i="5" s="1"/>
  <c r="X9" i="5" s="1"/>
  <c r="E139" i="9"/>
  <c r="E142" i="9" s="1"/>
  <c r="E143" i="9" s="1"/>
  <c r="P8" i="9" s="1"/>
  <c r="E833" i="5"/>
  <c r="E834" i="5" s="1"/>
  <c r="E839" i="5" s="1"/>
  <c r="X42" i="5" s="1"/>
  <c r="E832" i="9"/>
  <c r="E835" i="9" s="1"/>
  <c r="E836" i="9" s="1"/>
  <c r="P41" i="9" s="1"/>
  <c r="E56" i="5"/>
  <c r="E57" i="5" s="1"/>
  <c r="E62" i="5" s="1"/>
  <c r="X5" i="5" s="1"/>
  <c r="E55" i="9"/>
  <c r="E58" i="9" s="1"/>
  <c r="E59" i="9" s="1"/>
  <c r="P4" i="9" s="1"/>
  <c r="E770" i="5"/>
  <c r="E771" i="5" s="1"/>
  <c r="E776" i="5" s="1"/>
  <c r="X39" i="5" s="1"/>
  <c r="E769" i="9"/>
  <c r="E772" i="9" s="1"/>
  <c r="E773" i="9" s="1"/>
  <c r="P38" i="9" s="1"/>
  <c r="E854" i="5"/>
  <c r="E855" i="5" s="1"/>
  <c r="E860" i="5" s="1"/>
  <c r="X43" i="5" s="1"/>
  <c r="E853" i="9"/>
  <c r="E856" i="9" s="1"/>
  <c r="E857" i="9" s="1"/>
  <c r="P42" i="9" s="1"/>
  <c r="E245" i="5"/>
  <c r="E246" i="5" s="1"/>
  <c r="E251" i="5" s="1"/>
  <c r="X14" i="5" s="1"/>
  <c r="E244" i="9"/>
  <c r="E247" i="9" s="1"/>
  <c r="E248" i="9" s="1"/>
  <c r="P13" i="9" s="1"/>
  <c r="E917" i="5"/>
  <c r="E918" i="5" s="1"/>
  <c r="E923" i="5" s="1"/>
  <c r="X46" i="5" s="1"/>
  <c r="E916" i="9"/>
  <c r="E919" i="9" s="1"/>
  <c r="E920" i="9" s="1"/>
  <c r="P45" i="9" s="1"/>
  <c r="E938" i="5"/>
  <c r="E939" i="5" s="1"/>
  <c r="E944" i="5" s="1"/>
  <c r="X47" i="5" s="1"/>
  <c r="E937" i="9"/>
  <c r="E940" i="9" s="1"/>
  <c r="E941" i="9" s="1"/>
  <c r="P46" i="9" s="1"/>
  <c r="E875" i="5"/>
  <c r="E876" i="5" s="1"/>
  <c r="E881" i="5" s="1"/>
  <c r="X44" i="5" s="1"/>
  <c r="E874" i="9"/>
  <c r="E877" i="9" s="1"/>
  <c r="E878" i="9" s="1"/>
  <c r="P43" i="9" s="1"/>
  <c r="E1001" i="5"/>
  <c r="E1002" i="5" s="1"/>
  <c r="E1007" i="5" s="1"/>
  <c r="X50" i="5" s="1"/>
  <c r="E1000" i="9"/>
  <c r="E1003" i="9" s="1"/>
  <c r="E1004" i="9" s="1"/>
  <c r="P49" i="9" s="1"/>
  <c r="E644" i="5"/>
  <c r="E645" i="5" s="1"/>
  <c r="E650" i="5" s="1"/>
  <c r="X33" i="5" s="1"/>
  <c r="E643" i="9"/>
  <c r="E646" i="9" s="1"/>
  <c r="E647" i="9" s="1"/>
  <c r="P32" i="9" s="1"/>
  <c r="E1043" i="5"/>
  <c r="E1044" i="5" s="1"/>
  <c r="E1049" i="5" s="1"/>
  <c r="X52" i="5" s="1"/>
  <c r="E1042" i="9"/>
  <c r="E1045" i="9" s="1"/>
  <c r="E1046" i="9" s="1"/>
  <c r="P51" i="9" s="1"/>
  <c r="E896" i="5"/>
  <c r="E897" i="5" s="1"/>
  <c r="E902" i="5" s="1"/>
  <c r="X45" i="5" s="1"/>
  <c r="E895" i="9"/>
  <c r="E898" i="9" s="1"/>
  <c r="E899" i="9" s="1"/>
  <c r="P44" i="9" s="1"/>
  <c r="E749" i="5"/>
  <c r="E750" i="5" s="1"/>
  <c r="E755" i="5" s="1"/>
  <c r="X38" i="5" s="1"/>
  <c r="E748" i="9"/>
  <c r="E751" i="9" s="1"/>
  <c r="E752" i="9" s="1"/>
  <c r="P37" i="9" s="1"/>
  <c r="N423" i="5"/>
  <c r="M423" i="5" l="1"/>
  <c r="E20" i="5" l="1"/>
  <c r="X3" i="5" s="1"/>
  <c r="E36" i="5"/>
  <c r="E41" i="5" l="1"/>
  <c r="X4" i="5" s="1"/>
  <c r="F18" i="4"/>
  <c r="F17" i="4"/>
  <c r="J6" i="8" l="1"/>
  <c r="J8" i="8" s="1"/>
  <c r="J11" i="8" s="1"/>
  <c r="E35" i="7"/>
  <c r="E36" i="7" s="1"/>
  <c r="E41" i="7" s="1"/>
  <c r="X4" i="7" s="1"/>
  <c r="F15" i="4" l="1"/>
  <c r="F20" i="4" s="1"/>
</calcChain>
</file>

<file path=xl/sharedStrings.xml><?xml version="1.0" encoding="utf-8"?>
<sst xmlns="http://schemas.openxmlformats.org/spreadsheetml/2006/main" count="7315" uniqueCount="691">
  <si>
    <t>金額</t>
    <rPh sb="0" eb="2">
      <t>キンガク</t>
    </rPh>
    <phoneticPr fontId="1"/>
  </si>
  <si>
    <t>単位：万円</t>
    <rPh sb="0" eb="2">
      <t>タンイ</t>
    </rPh>
    <rPh sb="3" eb="5">
      <t>マンエン</t>
    </rPh>
    <phoneticPr fontId="1"/>
  </si>
  <si>
    <t>固定資産税</t>
    <rPh sb="0" eb="5">
      <t>コテイシサンゼイ</t>
    </rPh>
    <phoneticPr fontId="1"/>
  </si>
  <si>
    <t>頭金</t>
    <rPh sb="0" eb="2">
      <t>アタマキン</t>
    </rPh>
    <phoneticPr fontId="1"/>
  </si>
  <si>
    <t>真実の家賃</t>
    <rPh sb="0" eb="2">
      <t>シンジツ</t>
    </rPh>
    <rPh sb="3" eb="5">
      <t>ヤチン</t>
    </rPh>
    <phoneticPr fontId="1"/>
  </si>
  <si>
    <t>項目名</t>
    <rPh sb="0" eb="3">
      <t>コウモクメイ</t>
    </rPh>
    <phoneticPr fontId="1"/>
  </si>
  <si>
    <t>購入手数料</t>
    <rPh sb="0" eb="5">
      <t>コウニュウテスウリョウ</t>
    </rPh>
    <phoneticPr fontId="1"/>
  </si>
  <si>
    <t>初期費用</t>
    <rPh sb="0" eb="4">
      <t>ショキヒヨウ</t>
    </rPh>
    <phoneticPr fontId="1"/>
  </si>
  <si>
    <t>ローン返済額</t>
    <rPh sb="3" eb="6">
      <t>ヘンサイガク</t>
    </rPh>
    <phoneticPr fontId="1"/>
  </si>
  <si>
    <t>税金還付</t>
    <rPh sb="0" eb="4">
      <t>ゼイキンカンプ</t>
    </rPh>
    <phoneticPr fontId="1"/>
  </si>
  <si>
    <t>修繕費</t>
    <rPh sb="0" eb="3">
      <t>シュウゼンヒ</t>
    </rPh>
    <phoneticPr fontId="1"/>
  </si>
  <si>
    <t>ランニングコスト</t>
    <phoneticPr fontId="1"/>
  </si>
  <si>
    <t>ローン残債</t>
    <rPh sb="3" eb="5">
      <t>ザンサイ</t>
    </rPh>
    <phoneticPr fontId="1"/>
  </si>
  <si>
    <t>売却諸費用</t>
    <rPh sb="0" eb="2">
      <t>バイキャク</t>
    </rPh>
    <rPh sb="2" eb="5">
      <t>ショヒヨウ</t>
    </rPh>
    <phoneticPr fontId="1"/>
  </si>
  <si>
    <t>清算費用</t>
    <rPh sb="0" eb="4">
      <t>セイサンヒヨウ</t>
    </rPh>
    <phoneticPr fontId="1"/>
  </si>
  <si>
    <t>①総キャッシュアウト</t>
    <rPh sb="1" eb="2">
      <t>ソウ</t>
    </rPh>
    <phoneticPr fontId="1"/>
  </si>
  <si>
    <t>売却額</t>
    <rPh sb="0" eb="3">
      <t>バイキャクガク</t>
    </rPh>
    <phoneticPr fontId="1"/>
  </si>
  <si>
    <t>②総キャッシュイン</t>
    <rPh sb="1" eb="2">
      <t>ソウ</t>
    </rPh>
    <phoneticPr fontId="1"/>
  </si>
  <si>
    <t>③居住月数</t>
    <rPh sb="1" eb="5">
      <t>キョジュウツキスウ</t>
    </rPh>
    <phoneticPr fontId="1"/>
  </si>
  <si>
    <t>真実の家賃（②－①）÷③</t>
    <rPh sb="0" eb="2">
      <t>シンジツ</t>
    </rPh>
    <rPh sb="3" eb="5">
      <t>ヤチン</t>
    </rPh>
    <phoneticPr fontId="1"/>
  </si>
  <si>
    <t>万円/月</t>
    <rPh sb="0" eb="2">
      <t>マンエン</t>
    </rPh>
    <rPh sb="3" eb="4">
      <t>ツキ</t>
    </rPh>
    <phoneticPr fontId="1"/>
  </si>
  <si>
    <t>計</t>
  </si>
  <si>
    <t>回数</t>
  </si>
  <si>
    <t>返済総額</t>
  </si>
  <si>
    <t>元金分</t>
  </si>
  <si>
    <t>利息分</t>
  </si>
  <si>
    <t>借入残高</t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</si>
  <si>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</si>
  <si>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</si>
  <si>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</si>
  <si>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</si>
  <si>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</si>
  <si>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</si>
  <si>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</si>
  <si>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</si>
  <si>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</si>
  <si>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</si>
  <si>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11年目</t>
    <rPh sb="2" eb="4">
      <t>ネンメ</t>
    </rPh>
    <phoneticPr fontId="1"/>
  </si>
  <si>
    <t>12年目</t>
    <rPh sb="2" eb="4">
      <t>ネンメ</t>
    </rPh>
    <phoneticPr fontId="1"/>
  </si>
  <si>
    <t>13年目</t>
    <rPh sb="2" eb="4">
      <t>ネンメ</t>
    </rPh>
    <phoneticPr fontId="1"/>
  </si>
  <si>
    <t>年数</t>
    <rPh sb="0" eb="2">
      <t>ネンスウ</t>
    </rPh>
    <phoneticPr fontId="1"/>
  </si>
  <si>
    <t>借入残高</t>
    <rPh sb="0" eb="4">
      <t>カリイレザンダカ</t>
    </rPh>
    <phoneticPr fontId="1"/>
  </si>
  <si>
    <t>合計額</t>
    <rPh sb="0" eb="3">
      <t>ゴウケイガク</t>
    </rPh>
    <phoneticPr fontId="1"/>
  </si>
  <si>
    <t>返済年月</t>
    <rPh sb="0" eb="2">
      <t>ヘンサイ</t>
    </rPh>
    <rPh sb="2" eb="4">
      <t>ネンゲツ</t>
    </rPh>
    <phoneticPr fontId="1"/>
  </si>
  <si>
    <t>1年目：1月</t>
    <rPh sb="1" eb="2">
      <t>ネン</t>
    </rPh>
    <rPh sb="2" eb="3">
      <t>メ</t>
    </rPh>
    <rPh sb="5" eb="6">
      <t>ガツ</t>
    </rPh>
    <phoneticPr fontId="1"/>
  </si>
  <si>
    <t>1年目：2月</t>
    <rPh sb="1" eb="2">
      <t>ネン</t>
    </rPh>
    <rPh sb="2" eb="3">
      <t>メ</t>
    </rPh>
    <rPh sb="5" eb="6">
      <t>ガツ</t>
    </rPh>
    <phoneticPr fontId="1"/>
  </si>
  <si>
    <t>1年目：3月</t>
    <rPh sb="1" eb="2">
      <t>ネン</t>
    </rPh>
    <rPh sb="2" eb="3">
      <t>メ</t>
    </rPh>
    <rPh sb="5" eb="6">
      <t>ガツ</t>
    </rPh>
    <phoneticPr fontId="1"/>
  </si>
  <si>
    <t>1年目：4月</t>
    <rPh sb="1" eb="2">
      <t>ネン</t>
    </rPh>
    <rPh sb="2" eb="3">
      <t>メ</t>
    </rPh>
    <rPh sb="5" eb="6">
      <t>ガツ</t>
    </rPh>
    <phoneticPr fontId="1"/>
  </si>
  <si>
    <t>1年目：5月</t>
    <rPh sb="1" eb="2">
      <t>ネン</t>
    </rPh>
    <rPh sb="2" eb="3">
      <t>メ</t>
    </rPh>
    <rPh sb="5" eb="6">
      <t>ガツ</t>
    </rPh>
    <phoneticPr fontId="1"/>
  </si>
  <si>
    <t>1年目：6月</t>
    <rPh sb="1" eb="2">
      <t>ネン</t>
    </rPh>
    <rPh sb="2" eb="3">
      <t>メ</t>
    </rPh>
    <rPh sb="5" eb="6">
      <t>ガツ</t>
    </rPh>
    <phoneticPr fontId="1"/>
  </si>
  <si>
    <t>1年目：7月</t>
    <rPh sb="1" eb="2">
      <t>ネン</t>
    </rPh>
    <rPh sb="2" eb="3">
      <t>メ</t>
    </rPh>
    <rPh sb="5" eb="6">
      <t>ガツ</t>
    </rPh>
    <phoneticPr fontId="1"/>
  </si>
  <si>
    <t>1年目：8月</t>
    <rPh sb="1" eb="2">
      <t>ネン</t>
    </rPh>
    <rPh sb="2" eb="3">
      <t>メ</t>
    </rPh>
    <rPh sb="5" eb="6">
      <t>ガツ</t>
    </rPh>
    <phoneticPr fontId="1"/>
  </si>
  <si>
    <t>1年目：9月</t>
    <rPh sb="1" eb="2">
      <t>ネン</t>
    </rPh>
    <rPh sb="2" eb="3">
      <t>メ</t>
    </rPh>
    <rPh sb="5" eb="6">
      <t>ガツ</t>
    </rPh>
    <phoneticPr fontId="1"/>
  </si>
  <si>
    <t>1年目：10月</t>
    <rPh sb="1" eb="2">
      <t>ネン</t>
    </rPh>
    <rPh sb="2" eb="3">
      <t>メ</t>
    </rPh>
    <rPh sb="6" eb="7">
      <t>ガツ</t>
    </rPh>
    <phoneticPr fontId="1"/>
  </si>
  <si>
    <t>1年目：11月</t>
    <rPh sb="1" eb="2">
      <t>ネン</t>
    </rPh>
    <rPh sb="2" eb="3">
      <t>メ</t>
    </rPh>
    <rPh sb="6" eb="7">
      <t>ガツ</t>
    </rPh>
    <phoneticPr fontId="1"/>
  </si>
  <si>
    <t>1年目：12月</t>
    <rPh sb="1" eb="2">
      <t>ネン</t>
    </rPh>
    <rPh sb="2" eb="3">
      <t>メ</t>
    </rPh>
    <rPh sb="6" eb="7">
      <t>ガツ</t>
    </rPh>
    <phoneticPr fontId="1"/>
  </si>
  <si>
    <t>2年目：1月</t>
    <rPh sb="1" eb="2">
      <t>ネン</t>
    </rPh>
    <rPh sb="5" eb="6">
      <t>ガツ</t>
    </rPh>
    <phoneticPr fontId="1"/>
  </si>
  <si>
    <t>2年目：2月</t>
    <rPh sb="1" eb="2">
      <t>ネン</t>
    </rPh>
    <rPh sb="5" eb="6">
      <t>ガツ</t>
    </rPh>
    <phoneticPr fontId="1"/>
  </si>
  <si>
    <t>2年目：3月</t>
    <rPh sb="1" eb="2">
      <t>ネン</t>
    </rPh>
    <rPh sb="5" eb="6">
      <t>ガツ</t>
    </rPh>
    <phoneticPr fontId="1"/>
  </si>
  <si>
    <t>2年目：4月</t>
    <rPh sb="1" eb="2">
      <t>ネン</t>
    </rPh>
    <rPh sb="5" eb="6">
      <t>ガツ</t>
    </rPh>
    <phoneticPr fontId="1"/>
  </si>
  <si>
    <t>2年目：5月</t>
    <rPh sb="1" eb="2">
      <t>ネン</t>
    </rPh>
    <rPh sb="5" eb="6">
      <t>ガツ</t>
    </rPh>
    <phoneticPr fontId="1"/>
  </si>
  <si>
    <t>2年目：6月</t>
    <rPh sb="1" eb="2">
      <t>ネン</t>
    </rPh>
    <rPh sb="5" eb="6">
      <t>ガツ</t>
    </rPh>
    <phoneticPr fontId="1"/>
  </si>
  <si>
    <t>2年目：7月</t>
    <rPh sb="1" eb="2">
      <t>ネン</t>
    </rPh>
    <rPh sb="5" eb="6">
      <t>ガツ</t>
    </rPh>
    <phoneticPr fontId="1"/>
  </si>
  <si>
    <t>2年目：8月</t>
    <rPh sb="1" eb="2">
      <t>ネン</t>
    </rPh>
    <rPh sb="5" eb="6">
      <t>ガツ</t>
    </rPh>
    <phoneticPr fontId="1"/>
  </si>
  <si>
    <t>2年目：9月</t>
    <rPh sb="1" eb="2">
      <t>ネン</t>
    </rPh>
    <rPh sb="5" eb="6">
      <t>ガツ</t>
    </rPh>
    <phoneticPr fontId="1"/>
  </si>
  <si>
    <t>2年目：10月</t>
    <rPh sb="1" eb="2">
      <t>ネン</t>
    </rPh>
    <rPh sb="6" eb="7">
      <t>ガツ</t>
    </rPh>
    <phoneticPr fontId="1"/>
  </si>
  <si>
    <t>2年目：11月</t>
    <rPh sb="1" eb="2">
      <t>ネン</t>
    </rPh>
    <rPh sb="6" eb="7">
      <t>ガツ</t>
    </rPh>
    <phoneticPr fontId="1"/>
  </si>
  <si>
    <t>2年目：12月</t>
    <rPh sb="1" eb="2">
      <t>ネン</t>
    </rPh>
    <rPh sb="6" eb="7">
      <t>ガツ</t>
    </rPh>
    <phoneticPr fontId="1"/>
  </si>
  <si>
    <t>3年目：1月</t>
    <rPh sb="1" eb="2">
      <t>ネン</t>
    </rPh>
    <rPh sb="5" eb="6">
      <t>ガツ</t>
    </rPh>
    <phoneticPr fontId="1"/>
  </si>
  <si>
    <t>3年目：2月</t>
    <rPh sb="1" eb="2">
      <t>ネン</t>
    </rPh>
    <rPh sb="5" eb="6">
      <t>ガツ</t>
    </rPh>
    <phoneticPr fontId="1"/>
  </si>
  <si>
    <t>3年目：3月</t>
    <rPh sb="1" eb="2">
      <t>ネン</t>
    </rPh>
    <rPh sb="5" eb="6">
      <t>ガツ</t>
    </rPh>
    <phoneticPr fontId="1"/>
  </si>
  <si>
    <t>3年目：4月</t>
    <rPh sb="1" eb="2">
      <t>ネン</t>
    </rPh>
    <rPh sb="5" eb="6">
      <t>ガツ</t>
    </rPh>
    <phoneticPr fontId="1"/>
  </si>
  <si>
    <t>3年目：5月</t>
    <rPh sb="1" eb="2">
      <t>ネン</t>
    </rPh>
    <rPh sb="5" eb="6">
      <t>ガツ</t>
    </rPh>
    <phoneticPr fontId="1"/>
  </si>
  <si>
    <t>3年目：6月</t>
    <rPh sb="1" eb="2">
      <t>ネン</t>
    </rPh>
    <rPh sb="5" eb="6">
      <t>ガツ</t>
    </rPh>
    <phoneticPr fontId="1"/>
  </si>
  <si>
    <t>3年目：7月</t>
    <rPh sb="1" eb="2">
      <t>ネン</t>
    </rPh>
    <rPh sb="5" eb="6">
      <t>ガツ</t>
    </rPh>
    <phoneticPr fontId="1"/>
  </si>
  <si>
    <t>3年目：8月</t>
    <rPh sb="1" eb="2">
      <t>ネン</t>
    </rPh>
    <rPh sb="5" eb="6">
      <t>ガツ</t>
    </rPh>
    <phoneticPr fontId="1"/>
  </si>
  <si>
    <t>3年目：9月</t>
    <rPh sb="1" eb="2">
      <t>ネン</t>
    </rPh>
    <rPh sb="5" eb="6">
      <t>ガツ</t>
    </rPh>
    <phoneticPr fontId="1"/>
  </si>
  <si>
    <t>3年目：10月</t>
    <rPh sb="1" eb="2">
      <t>ネン</t>
    </rPh>
    <rPh sb="6" eb="7">
      <t>ガツ</t>
    </rPh>
    <phoneticPr fontId="1"/>
  </si>
  <si>
    <t>3年目：11月</t>
    <rPh sb="1" eb="2">
      <t>ネン</t>
    </rPh>
    <rPh sb="6" eb="7">
      <t>ガツ</t>
    </rPh>
    <phoneticPr fontId="1"/>
  </si>
  <si>
    <t>3年目：12月</t>
    <rPh sb="1" eb="2">
      <t>ネン</t>
    </rPh>
    <rPh sb="6" eb="7">
      <t>ガツ</t>
    </rPh>
    <phoneticPr fontId="1"/>
  </si>
  <si>
    <t>4年目：1月</t>
    <rPh sb="1" eb="2">
      <t>ネン</t>
    </rPh>
    <rPh sb="5" eb="6">
      <t>ガツ</t>
    </rPh>
    <phoneticPr fontId="1"/>
  </si>
  <si>
    <t>4年目：2月</t>
    <rPh sb="1" eb="2">
      <t>ネン</t>
    </rPh>
    <rPh sb="5" eb="6">
      <t>ガツ</t>
    </rPh>
    <phoneticPr fontId="1"/>
  </si>
  <si>
    <t>4年目：3月</t>
    <rPh sb="1" eb="2">
      <t>ネン</t>
    </rPh>
    <rPh sb="5" eb="6">
      <t>ガツ</t>
    </rPh>
    <phoneticPr fontId="1"/>
  </si>
  <si>
    <t>4年目：4月</t>
    <rPh sb="1" eb="2">
      <t>ネン</t>
    </rPh>
    <rPh sb="5" eb="6">
      <t>ガツ</t>
    </rPh>
    <phoneticPr fontId="1"/>
  </si>
  <si>
    <t>4年目：5月</t>
    <rPh sb="1" eb="2">
      <t>ネン</t>
    </rPh>
    <rPh sb="5" eb="6">
      <t>ガツ</t>
    </rPh>
    <phoneticPr fontId="1"/>
  </si>
  <si>
    <t>4年目：6月</t>
    <rPh sb="1" eb="2">
      <t>ネン</t>
    </rPh>
    <rPh sb="5" eb="6">
      <t>ガツ</t>
    </rPh>
    <phoneticPr fontId="1"/>
  </si>
  <si>
    <t>4年目：7月</t>
    <rPh sb="1" eb="2">
      <t>ネン</t>
    </rPh>
    <rPh sb="5" eb="6">
      <t>ガツ</t>
    </rPh>
    <phoneticPr fontId="1"/>
  </si>
  <si>
    <t>4年目：8月</t>
    <rPh sb="1" eb="2">
      <t>ネン</t>
    </rPh>
    <rPh sb="5" eb="6">
      <t>ガツ</t>
    </rPh>
    <phoneticPr fontId="1"/>
  </si>
  <si>
    <t>4年目：9月</t>
    <rPh sb="1" eb="2">
      <t>ネン</t>
    </rPh>
    <rPh sb="5" eb="6">
      <t>ガツ</t>
    </rPh>
    <phoneticPr fontId="1"/>
  </si>
  <si>
    <t>4年目：10月</t>
    <rPh sb="1" eb="2">
      <t>ネン</t>
    </rPh>
    <rPh sb="6" eb="7">
      <t>ガツ</t>
    </rPh>
    <phoneticPr fontId="1"/>
  </si>
  <si>
    <t>4年目：11月</t>
    <rPh sb="1" eb="2">
      <t>ネン</t>
    </rPh>
    <rPh sb="6" eb="7">
      <t>ガツ</t>
    </rPh>
    <phoneticPr fontId="1"/>
  </si>
  <si>
    <t>4年目：12月</t>
    <rPh sb="1" eb="2">
      <t>ネン</t>
    </rPh>
    <rPh sb="6" eb="7">
      <t>ガツ</t>
    </rPh>
    <phoneticPr fontId="1"/>
  </si>
  <si>
    <t>5年目：1月</t>
    <rPh sb="1" eb="2">
      <t>ネン</t>
    </rPh>
    <rPh sb="5" eb="6">
      <t>ガツ</t>
    </rPh>
    <phoneticPr fontId="1"/>
  </si>
  <si>
    <t>5年目：2月</t>
    <rPh sb="1" eb="2">
      <t>ネン</t>
    </rPh>
    <rPh sb="5" eb="6">
      <t>ガツ</t>
    </rPh>
    <phoneticPr fontId="1"/>
  </si>
  <si>
    <t>5年目：3月</t>
    <rPh sb="1" eb="2">
      <t>ネン</t>
    </rPh>
    <rPh sb="5" eb="6">
      <t>ガツ</t>
    </rPh>
    <phoneticPr fontId="1"/>
  </si>
  <si>
    <t>5年目：4月</t>
    <rPh sb="1" eb="2">
      <t>ネン</t>
    </rPh>
    <rPh sb="5" eb="6">
      <t>ガツ</t>
    </rPh>
    <phoneticPr fontId="1"/>
  </si>
  <si>
    <t>5年目：5月</t>
    <rPh sb="1" eb="2">
      <t>ネン</t>
    </rPh>
    <rPh sb="5" eb="6">
      <t>ガツ</t>
    </rPh>
    <phoneticPr fontId="1"/>
  </si>
  <si>
    <t>5年目：6月</t>
    <rPh sb="1" eb="2">
      <t>ネン</t>
    </rPh>
    <rPh sb="5" eb="6">
      <t>ガツ</t>
    </rPh>
    <phoneticPr fontId="1"/>
  </si>
  <si>
    <t>5年目：7月</t>
    <rPh sb="1" eb="2">
      <t>ネン</t>
    </rPh>
    <rPh sb="5" eb="6">
      <t>ガツ</t>
    </rPh>
    <phoneticPr fontId="1"/>
  </si>
  <si>
    <t>5年目：8月</t>
    <rPh sb="1" eb="2">
      <t>ネン</t>
    </rPh>
    <rPh sb="5" eb="6">
      <t>ガツ</t>
    </rPh>
    <phoneticPr fontId="1"/>
  </si>
  <si>
    <t>5年目：9月</t>
    <rPh sb="1" eb="2">
      <t>ネン</t>
    </rPh>
    <rPh sb="5" eb="6">
      <t>ガツ</t>
    </rPh>
    <phoneticPr fontId="1"/>
  </si>
  <si>
    <t>5年目：10月</t>
    <rPh sb="1" eb="2">
      <t>ネン</t>
    </rPh>
    <rPh sb="6" eb="7">
      <t>ガツ</t>
    </rPh>
    <phoneticPr fontId="1"/>
  </si>
  <si>
    <t>5年目：11月</t>
    <rPh sb="1" eb="2">
      <t>ネン</t>
    </rPh>
    <rPh sb="6" eb="7">
      <t>ガツ</t>
    </rPh>
    <phoneticPr fontId="1"/>
  </si>
  <si>
    <t>5年目：12月</t>
    <rPh sb="1" eb="2">
      <t>ネン</t>
    </rPh>
    <rPh sb="6" eb="7">
      <t>ガツ</t>
    </rPh>
    <phoneticPr fontId="1"/>
  </si>
  <si>
    <t>6年目：1月</t>
    <rPh sb="1" eb="2">
      <t>ネン</t>
    </rPh>
    <rPh sb="5" eb="6">
      <t>ガツ</t>
    </rPh>
    <phoneticPr fontId="1"/>
  </si>
  <si>
    <t>6年目：2月</t>
    <rPh sb="1" eb="2">
      <t>ネン</t>
    </rPh>
    <rPh sb="5" eb="6">
      <t>ガツ</t>
    </rPh>
    <phoneticPr fontId="1"/>
  </si>
  <si>
    <t>6年目：3月</t>
    <rPh sb="1" eb="2">
      <t>ネン</t>
    </rPh>
    <rPh sb="5" eb="6">
      <t>ガツ</t>
    </rPh>
    <phoneticPr fontId="1"/>
  </si>
  <si>
    <t>6年目：4月</t>
    <rPh sb="1" eb="2">
      <t>ネン</t>
    </rPh>
    <rPh sb="5" eb="6">
      <t>ガツ</t>
    </rPh>
    <phoneticPr fontId="1"/>
  </si>
  <si>
    <t>6年目：5月</t>
    <rPh sb="1" eb="2">
      <t>ネン</t>
    </rPh>
    <rPh sb="5" eb="6">
      <t>ガツ</t>
    </rPh>
    <phoneticPr fontId="1"/>
  </si>
  <si>
    <t>6年目：6月</t>
    <rPh sb="1" eb="2">
      <t>ネン</t>
    </rPh>
    <rPh sb="5" eb="6">
      <t>ガツ</t>
    </rPh>
    <phoneticPr fontId="1"/>
  </si>
  <si>
    <t>6年目：7月</t>
    <rPh sb="1" eb="2">
      <t>ネン</t>
    </rPh>
    <rPh sb="5" eb="6">
      <t>ガツ</t>
    </rPh>
    <phoneticPr fontId="1"/>
  </si>
  <si>
    <t>6年目：8月</t>
    <rPh sb="1" eb="2">
      <t>ネン</t>
    </rPh>
    <rPh sb="5" eb="6">
      <t>ガツ</t>
    </rPh>
    <phoneticPr fontId="1"/>
  </si>
  <si>
    <t>6年目：9月</t>
    <rPh sb="1" eb="2">
      <t>ネン</t>
    </rPh>
    <rPh sb="5" eb="6">
      <t>ガツ</t>
    </rPh>
    <phoneticPr fontId="1"/>
  </si>
  <si>
    <t>6年目：10月</t>
    <rPh sb="1" eb="2">
      <t>ネン</t>
    </rPh>
    <rPh sb="6" eb="7">
      <t>ガツ</t>
    </rPh>
    <phoneticPr fontId="1"/>
  </si>
  <si>
    <t>6年目：11月</t>
    <rPh sb="1" eb="2">
      <t>ネン</t>
    </rPh>
    <rPh sb="6" eb="7">
      <t>ガツ</t>
    </rPh>
    <phoneticPr fontId="1"/>
  </si>
  <si>
    <t>6年目：12月</t>
    <rPh sb="1" eb="2">
      <t>ネン</t>
    </rPh>
    <rPh sb="6" eb="7">
      <t>ガツ</t>
    </rPh>
    <phoneticPr fontId="1"/>
  </si>
  <si>
    <t>7年目：1月</t>
    <rPh sb="1" eb="2">
      <t>ネン</t>
    </rPh>
    <rPh sb="5" eb="6">
      <t>ガツ</t>
    </rPh>
    <phoneticPr fontId="1"/>
  </si>
  <si>
    <t>7年目：2月</t>
    <rPh sb="1" eb="2">
      <t>ネン</t>
    </rPh>
    <rPh sb="5" eb="6">
      <t>ガツ</t>
    </rPh>
    <phoneticPr fontId="1"/>
  </si>
  <si>
    <t>7年目：3月</t>
    <rPh sb="1" eb="2">
      <t>ネン</t>
    </rPh>
    <rPh sb="5" eb="6">
      <t>ガツ</t>
    </rPh>
    <phoneticPr fontId="1"/>
  </si>
  <si>
    <t>7年目：4月</t>
    <rPh sb="1" eb="2">
      <t>ネン</t>
    </rPh>
    <rPh sb="5" eb="6">
      <t>ガツ</t>
    </rPh>
    <phoneticPr fontId="1"/>
  </si>
  <si>
    <t>7年目：5月</t>
    <rPh sb="1" eb="2">
      <t>ネン</t>
    </rPh>
    <rPh sb="5" eb="6">
      <t>ガツ</t>
    </rPh>
    <phoneticPr fontId="1"/>
  </si>
  <si>
    <t>7年目：6月</t>
    <rPh sb="1" eb="2">
      <t>ネン</t>
    </rPh>
    <rPh sb="5" eb="6">
      <t>ガツ</t>
    </rPh>
    <phoneticPr fontId="1"/>
  </si>
  <si>
    <t>7年目：7月</t>
    <rPh sb="1" eb="2">
      <t>ネン</t>
    </rPh>
    <rPh sb="5" eb="6">
      <t>ガツ</t>
    </rPh>
    <phoneticPr fontId="1"/>
  </si>
  <si>
    <t>7年目：8月</t>
    <rPh sb="1" eb="2">
      <t>ネン</t>
    </rPh>
    <rPh sb="5" eb="6">
      <t>ガツ</t>
    </rPh>
    <phoneticPr fontId="1"/>
  </si>
  <si>
    <t>7年目：9月</t>
    <rPh sb="1" eb="2">
      <t>ネン</t>
    </rPh>
    <rPh sb="5" eb="6">
      <t>ガツ</t>
    </rPh>
    <phoneticPr fontId="1"/>
  </si>
  <si>
    <t>7年目：10月</t>
    <rPh sb="1" eb="2">
      <t>ネン</t>
    </rPh>
    <rPh sb="6" eb="7">
      <t>ガツ</t>
    </rPh>
    <phoneticPr fontId="1"/>
  </si>
  <si>
    <t>7年目：11月</t>
    <rPh sb="1" eb="2">
      <t>ネン</t>
    </rPh>
    <rPh sb="6" eb="7">
      <t>ガツ</t>
    </rPh>
    <phoneticPr fontId="1"/>
  </si>
  <si>
    <t>7年目：12月</t>
    <rPh sb="1" eb="2">
      <t>ネン</t>
    </rPh>
    <rPh sb="6" eb="7">
      <t>ガツ</t>
    </rPh>
    <phoneticPr fontId="1"/>
  </si>
  <si>
    <t>8年目：1月</t>
    <rPh sb="1" eb="2">
      <t>ネン</t>
    </rPh>
    <rPh sb="5" eb="6">
      <t>ガツ</t>
    </rPh>
    <phoneticPr fontId="1"/>
  </si>
  <si>
    <t>8年目：2月</t>
    <rPh sb="1" eb="2">
      <t>ネン</t>
    </rPh>
    <rPh sb="5" eb="6">
      <t>ガツ</t>
    </rPh>
    <phoneticPr fontId="1"/>
  </si>
  <si>
    <t>8年目：3月</t>
    <rPh sb="1" eb="2">
      <t>ネン</t>
    </rPh>
    <rPh sb="5" eb="6">
      <t>ガツ</t>
    </rPh>
    <phoneticPr fontId="1"/>
  </si>
  <si>
    <t>8年目：4月</t>
    <rPh sb="1" eb="2">
      <t>ネン</t>
    </rPh>
    <rPh sb="5" eb="6">
      <t>ガツ</t>
    </rPh>
    <phoneticPr fontId="1"/>
  </si>
  <si>
    <t>8年目：5月</t>
    <rPh sb="1" eb="2">
      <t>ネン</t>
    </rPh>
    <rPh sb="5" eb="6">
      <t>ガツ</t>
    </rPh>
    <phoneticPr fontId="1"/>
  </si>
  <si>
    <t>8年目：6月</t>
    <rPh sb="1" eb="2">
      <t>ネン</t>
    </rPh>
    <rPh sb="5" eb="6">
      <t>ガツ</t>
    </rPh>
    <phoneticPr fontId="1"/>
  </si>
  <si>
    <t>8年目：7月</t>
    <rPh sb="1" eb="2">
      <t>ネン</t>
    </rPh>
    <rPh sb="5" eb="6">
      <t>ガツ</t>
    </rPh>
    <phoneticPr fontId="1"/>
  </si>
  <si>
    <t>8年目：8月</t>
    <rPh sb="1" eb="2">
      <t>ネン</t>
    </rPh>
    <rPh sb="5" eb="6">
      <t>ガツ</t>
    </rPh>
    <phoneticPr fontId="1"/>
  </si>
  <si>
    <t>8年目：9月</t>
    <rPh sb="1" eb="2">
      <t>ネン</t>
    </rPh>
    <rPh sb="5" eb="6">
      <t>ガツ</t>
    </rPh>
    <phoneticPr fontId="1"/>
  </si>
  <si>
    <t>8年目：10月</t>
    <rPh sb="1" eb="2">
      <t>ネン</t>
    </rPh>
    <rPh sb="6" eb="7">
      <t>ガツ</t>
    </rPh>
    <phoneticPr fontId="1"/>
  </si>
  <si>
    <t>8年目：11月</t>
    <rPh sb="1" eb="2">
      <t>ネン</t>
    </rPh>
    <rPh sb="6" eb="7">
      <t>ガツ</t>
    </rPh>
    <phoneticPr fontId="1"/>
  </si>
  <si>
    <t>8年目：12月</t>
    <rPh sb="1" eb="2">
      <t>ネン</t>
    </rPh>
    <rPh sb="6" eb="7">
      <t>ガツ</t>
    </rPh>
    <phoneticPr fontId="1"/>
  </si>
  <si>
    <t>9年目：1月</t>
    <rPh sb="1" eb="2">
      <t>ネン</t>
    </rPh>
    <rPh sb="5" eb="6">
      <t>ガツ</t>
    </rPh>
    <phoneticPr fontId="1"/>
  </si>
  <si>
    <t>9年目：2月</t>
    <rPh sb="1" eb="2">
      <t>ネン</t>
    </rPh>
    <rPh sb="5" eb="6">
      <t>ガツ</t>
    </rPh>
    <phoneticPr fontId="1"/>
  </si>
  <si>
    <t>9年目：3月</t>
    <rPh sb="1" eb="2">
      <t>ネン</t>
    </rPh>
    <rPh sb="5" eb="6">
      <t>ガツ</t>
    </rPh>
    <phoneticPr fontId="1"/>
  </si>
  <si>
    <t>9年目：4月</t>
    <rPh sb="1" eb="2">
      <t>ネン</t>
    </rPh>
    <rPh sb="5" eb="6">
      <t>ガツ</t>
    </rPh>
    <phoneticPr fontId="1"/>
  </si>
  <si>
    <t>9年目：5月</t>
    <rPh sb="1" eb="2">
      <t>ネン</t>
    </rPh>
    <rPh sb="5" eb="6">
      <t>ガツ</t>
    </rPh>
    <phoneticPr fontId="1"/>
  </si>
  <si>
    <t>9年目：6月</t>
    <rPh sb="1" eb="2">
      <t>ネン</t>
    </rPh>
    <rPh sb="5" eb="6">
      <t>ガツ</t>
    </rPh>
    <phoneticPr fontId="1"/>
  </si>
  <si>
    <t>9年目：7月</t>
    <rPh sb="1" eb="2">
      <t>ネン</t>
    </rPh>
    <rPh sb="5" eb="6">
      <t>ガツ</t>
    </rPh>
    <phoneticPr fontId="1"/>
  </si>
  <si>
    <t>9年目：8月</t>
    <rPh sb="1" eb="2">
      <t>ネン</t>
    </rPh>
    <rPh sb="5" eb="6">
      <t>ガツ</t>
    </rPh>
    <phoneticPr fontId="1"/>
  </si>
  <si>
    <t>9年目：9月</t>
    <rPh sb="1" eb="2">
      <t>ネン</t>
    </rPh>
    <rPh sb="5" eb="6">
      <t>ガツ</t>
    </rPh>
    <phoneticPr fontId="1"/>
  </si>
  <si>
    <t>9年目：10月</t>
    <rPh sb="1" eb="2">
      <t>ネン</t>
    </rPh>
    <rPh sb="6" eb="7">
      <t>ガツ</t>
    </rPh>
    <phoneticPr fontId="1"/>
  </si>
  <si>
    <t>9年目：11月</t>
    <rPh sb="1" eb="2">
      <t>ネン</t>
    </rPh>
    <rPh sb="6" eb="7">
      <t>ガツ</t>
    </rPh>
    <phoneticPr fontId="1"/>
  </si>
  <si>
    <t>9年目：12月</t>
    <rPh sb="1" eb="2">
      <t>ネン</t>
    </rPh>
    <rPh sb="6" eb="7">
      <t>ガツ</t>
    </rPh>
    <phoneticPr fontId="1"/>
  </si>
  <si>
    <t>10年目：1月</t>
    <rPh sb="2" eb="3">
      <t>ネン</t>
    </rPh>
    <rPh sb="6" eb="7">
      <t>ガツ</t>
    </rPh>
    <phoneticPr fontId="1"/>
  </si>
  <si>
    <t>10年目：2月</t>
    <rPh sb="2" eb="3">
      <t>ネン</t>
    </rPh>
    <rPh sb="6" eb="7">
      <t>ガツ</t>
    </rPh>
    <phoneticPr fontId="1"/>
  </si>
  <si>
    <t>10年目：3月</t>
    <rPh sb="2" eb="3">
      <t>ネン</t>
    </rPh>
    <rPh sb="6" eb="7">
      <t>ガツ</t>
    </rPh>
    <phoneticPr fontId="1"/>
  </si>
  <si>
    <t>10年目：4月</t>
    <rPh sb="2" eb="3">
      <t>ネン</t>
    </rPh>
    <rPh sb="6" eb="7">
      <t>ガツ</t>
    </rPh>
    <phoneticPr fontId="1"/>
  </si>
  <si>
    <t>10年目：5月</t>
    <rPh sb="2" eb="3">
      <t>ネン</t>
    </rPh>
    <rPh sb="6" eb="7">
      <t>ガツ</t>
    </rPh>
    <phoneticPr fontId="1"/>
  </si>
  <si>
    <t>10年目：6月</t>
    <rPh sb="2" eb="3">
      <t>ネン</t>
    </rPh>
    <rPh sb="6" eb="7">
      <t>ガツ</t>
    </rPh>
    <phoneticPr fontId="1"/>
  </si>
  <si>
    <t>10年目：7月</t>
    <rPh sb="2" eb="3">
      <t>ネン</t>
    </rPh>
    <rPh sb="6" eb="7">
      <t>ガツ</t>
    </rPh>
    <phoneticPr fontId="1"/>
  </si>
  <si>
    <t>10年目：8月</t>
    <rPh sb="2" eb="3">
      <t>ネン</t>
    </rPh>
    <rPh sb="6" eb="7">
      <t>ガツ</t>
    </rPh>
    <phoneticPr fontId="1"/>
  </si>
  <si>
    <t>10年目：9月</t>
    <rPh sb="2" eb="3">
      <t>ネン</t>
    </rPh>
    <rPh sb="6" eb="7">
      <t>ガツ</t>
    </rPh>
    <phoneticPr fontId="1"/>
  </si>
  <si>
    <t>10年目：10月</t>
    <rPh sb="2" eb="3">
      <t>ネン</t>
    </rPh>
    <rPh sb="7" eb="8">
      <t>ガツ</t>
    </rPh>
    <phoneticPr fontId="1"/>
  </si>
  <si>
    <t>10年目：11月</t>
    <rPh sb="2" eb="3">
      <t>ネン</t>
    </rPh>
    <rPh sb="7" eb="8">
      <t>ガツ</t>
    </rPh>
    <phoneticPr fontId="1"/>
  </si>
  <si>
    <t>10年目：12月</t>
    <rPh sb="2" eb="3">
      <t>ネン</t>
    </rPh>
    <rPh sb="7" eb="8">
      <t>ガツ</t>
    </rPh>
    <phoneticPr fontId="1"/>
  </si>
  <si>
    <t>11年目：1月</t>
    <rPh sb="2" eb="3">
      <t>ネン</t>
    </rPh>
    <rPh sb="6" eb="7">
      <t>ガツ</t>
    </rPh>
    <phoneticPr fontId="1"/>
  </si>
  <si>
    <t>11年目：2月</t>
    <rPh sb="2" eb="3">
      <t>ネン</t>
    </rPh>
    <rPh sb="6" eb="7">
      <t>ガツ</t>
    </rPh>
    <phoneticPr fontId="1"/>
  </si>
  <si>
    <t>11年目：3月</t>
    <rPh sb="2" eb="3">
      <t>ネン</t>
    </rPh>
    <rPh sb="6" eb="7">
      <t>ガツ</t>
    </rPh>
    <phoneticPr fontId="1"/>
  </si>
  <si>
    <t>11年目：4月</t>
    <rPh sb="2" eb="3">
      <t>ネン</t>
    </rPh>
    <rPh sb="6" eb="7">
      <t>ガツ</t>
    </rPh>
    <phoneticPr fontId="1"/>
  </si>
  <si>
    <t>11年目：5月</t>
    <rPh sb="2" eb="3">
      <t>ネン</t>
    </rPh>
    <rPh sb="6" eb="7">
      <t>ガツ</t>
    </rPh>
    <phoneticPr fontId="1"/>
  </si>
  <si>
    <t>11年目：6月</t>
    <rPh sb="2" eb="3">
      <t>ネン</t>
    </rPh>
    <rPh sb="6" eb="7">
      <t>ガツ</t>
    </rPh>
    <phoneticPr fontId="1"/>
  </si>
  <si>
    <t>11年目：7月</t>
    <rPh sb="2" eb="3">
      <t>ネン</t>
    </rPh>
    <rPh sb="6" eb="7">
      <t>ガツ</t>
    </rPh>
    <phoneticPr fontId="1"/>
  </si>
  <si>
    <t>11年目：8月</t>
    <rPh sb="2" eb="3">
      <t>ネン</t>
    </rPh>
    <rPh sb="6" eb="7">
      <t>ガツ</t>
    </rPh>
    <phoneticPr fontId="1"/>
  </si>
  <si>
    <t>11年目：9月</t>
    <rPh sb="2" eb="3">
      <t>ネン</t>
    </rPh>
    <rPh sb="6" eb="7">
      <t>ガツ</t>
    </rPh>
    <phoneticPr fontId="1"/>
  </si>
  <si>
    <t>11年目：10月</t>
    <rPh sb="2" eb="3">
      <t>ネン</t>
    </rPh>
    <rPh sb="7" eb="8">
      <t>ガツ</t>
    </rPh>
    <phoneticPr fontId="1"/>
  </si>
  <si>
    <t>11年目：11月</t>
    <rPh sb="2" eb="3">
      <t>ネン</t>
    </rPh>
    <rPh sb="7" eb="8">
      <t>ガツ</t>
    </rPh>
    <phoneticPr fontId="1"/>
  </si>
  <si>
    <t>11年目：12月</t>
    <rPh sb="2" eb="3">
      <t>ネン</t>
    </rPh>
    <rPh sb="7" eb="8">
      <t>ガツ</t>
    </rPh>
    <phoneticPr fontId="1"/>
  </si>
  <si>
    <t>12年目：1月</t>
    <rPh sb="2" eb="3">
      <t>ネン</t>
    </rPh>
    <rPh sb="6" eb="7">
      <t>ガツ</t>
    </rPh>
    <phoneticPr fontId="1"/>
  </si>
  <si>
    <t>12年目：2月</t>
    <rPh sb="2" eb="3">
      <t>ネン</t>
    </rPh>
    <rPh sb="6" eb="7">
      <t>ガツ</t>
    </rPh>
    <phoneticPr fontId="1"/>
  </si>
  <si>
    <t>12年目：3月</t>
    <rPh sb="2" eb="3">
      <t>ネン</t>
    </rPh>
    <rPh sb="6" eb="7">
      <t>ガツ</t>
    </rPh>
    <phoneticPr fontId="1"/>
  </si>
  <si>
    <t>12年目：4月</t>
    <rPh sb="2" eb="3">
      <t>ネン</t>
    </rPh>
    <rPh sb="6" eb="7">
      <t>ガツ</t>
    </rPh>
    <phoneticPr fontId="1"/>
  </si>
  <si>
    <t>12年目：5月</t>
    <rPh sb="2" eb="3">
      <t>ネン</t>
    </rPh>
    <rPh sb="6" eb="7">
      <t>ガツ</t>
    </rPh>
    <phoneticPr fontId="1"/>
  </si>
  <si>
    <t>12年目：6月</t>
    <rPh sb="2" eb="3">
      <t>ネン</t>
    </rPh>
    <rPh sb="6" eb="7">
      <t>ガツ</t>
    </rPh>
    <phoneticPr fontId="1"/>
  </si>
  <si>
    <t>12年目：7月</t>
    <rPh sb="2" eb="3">
      <t>ネン</t>
    </rPh>
    <rPh sb="6" eb="7">
      <t>ガツ</t>
    </rPh>
    <phoneticPr fontId="1"/>
  </si>
  <si>
    <t>12年目：8月</t>
    <rPh sb="2" eb="3">
      <t>ネン</t>
    </rPh>
    <rPh sb="6" eb="7">
      <t>ガツ</t>
    </rPh>
    <phoneticPr fontId="1"/>
  </si>
  <si>
    <t>12年目：9月</t>
    <rPh sb="2" eb="3">
      <t>ネン</t>
    </rPh>
    <rPh sb="6" eb="7">
      <t>ガツ</t>
    </rPh>
    <phoneticPr fontId="1"/>
  </si>
  <si>
    <t>12年目：10月</t>
    <rPh sb="2" eb="3">
      <t>ネン</t>
    </rPh>
    <rPh sb="7" eb="8">
      <t>ガツ</t>
    </rPh>
    <phoneticPr fontId="1"/>
  </si>
  <si>
    <t>12年目：11月</t>
    <rPh sb="2" eb="3">
      <t>ネン</t>
    </rPh>
    <rPh sb="7" eb="8">
      <t>ガツ</t>
    </rPh>
    <phoneticPr fontId="1"/>
  </si>
  <si>
    <t>12年目：12月</t>
    <rPh sb="2" eb="3">
      <t>ネン</t>
    </rPh>
    <rPh sb="7" eb="8">
      <t>ガツ</t>
    </rPh>
    <phoneticPr fontId="1"/>
  </si>
  <si>
    <t>13年目：1月</t>
    <rPh sb="2" eb="3">
      <t>ネン</t>
    </rPh>
    <rPh sb="6" eb="7">
      <t>ガツ</t>
    </rPh>
    <phoneticPr fontId="1"/>
  </si>
  <si>
    <t>13年目：2月</t>
    <rPh sb="2" eb="3">
      <t>ネン</t>
    </rPh>
    <rPh sb="6" eb="7">
      <t>ガツ</t>
    </rPh>
    <phoneticPr fontId="1"/>
  </si>
  <si>
    <t>13年目：3月</t>
    <rPh sb="2" eb="3">
      <t>ネン</t>
    </rPh>
    <rPh sb="6" eb="7">
      <t>ガツ</t>
    </rPh>
    <phoneticPr fontId="1"/>
  </si>
  <si>
    <t>13年目：4月</t>
    <rPh sb="2" eb="3">
      <t>ネン</t>
    </rPh>
    <rPh sb="6" eb="7">
      <t>ガツ</t>
    </rPh>
    <phoneticPr fontId="1"/>
  </si>
  <si>
    <t>13年目：5月</t>
    <rPh sb="2" eb="3">
      <t>ネン</t>
    </rPh>
    <rPh sb="6" eb="7">
      <t>ガツ</t>
    </rPh>
    <phoneticPr fontId="1"/>
  </si>
  <si>
    <t>13年目：6月</t>
    <rPh sb="2" eb="3">
      <t>ネン</t>
    </rPh>
    <rPh sb="6" eb="7">
      <t>ガツ</t>
    </rPh>
    <phoneticPr fontId="1"/>
  </si>
  <si>
    <t>13年目：7月</t>
    <rPh sb="2" eb="3">
      <t>ネン</t>
    </rPh>
    <rPh sb="6" eb="7">
      <t>ガツ</t>
    </rPh>
    <phoneticPr fontId="1"/>
  </si>
  <si>
    <t>13年目：8月</t>
    <rPh sb="2" eb="3">
      <t>ネン</t>
    </rPh>
    <rPh sb="6" eb="7">
      <t>ガツ</t>
    </rPh>
    <phoneticPr fontId="1"/>
  </si>
  <si>
    <t>13年目：9月</t>
    <rPh sb="2" eb="3">
      <t>ネン</t>
    </rPh>
    <rPh sb="6" eb="7">
      <t>ガツ</t>
    </rPh>
    <phoneticPr fontId="1"/>
  </si>
  <si>
    <t>13年目：10月</t>
    <rPh sb="2" eb="3">
      <t>ネン</t>
    </rPh>
    <rPh sb="7" eb="8">
      <t>ガツ</t>
    </rPh>
    <phoneticPr fontId="1"/>
  </si>
  <si>
    <t>13年目：11月</t>
    <rPh sb="2" eb="3">
      <t>ネン</t>
    </rPh>
    <rPh sb="7" eb="8">
      <t>ガツ</t>
    </rPh>
    <phoneticPr fontId="1"/>
  </si>
  <si>
    <t>13年目：12月</t>
    <rPh sb="2" eb="3">
      <t>ネン</t>
    </rPh>
    <rPh sb="7" eb="8">
      <t>ガツ</t>
    </rPh>
    <phoneticPr fontId="1"/>
  </si>
  <si>
    <t>14年目：1月</t>
    <rPh sb="2" eb="3">
      <t>ネン</t>
    </rPh>
    <rPh sb="6" eb="7">
      <t>ガツ</t>
    </rPh>
    <phoneticPr fontId="1"/>
  </si>
  <si>
    <t>14年目：2月</t>
    <rPh sb="2" eb="3">
      <t>ネン</t>
    </rPh>
    <rPh sb="6" eb="7">
      <t>ガツ</t>
    </rPh>
    <phoneticPr fontId="1"/>
  </si>
  <si>
    <t>14年目：3月</t>
    <rPh sb="2" eb="3">
      <t>ネン</t>
    </rPh>
    <rPh sb="6" eb="7">
      <t>ガツ</t>
    </rPh>
    <phoneticPr fontId="1"/>
  </si>
  <si>
    <t>14年目：4月</t>
    <rPh sb="2" eb="3">
      <t>ネン</t>
    </rPh>
    <rPh sb="6" eb="7">
      <t>ガツ</t>
    </rPh>
    <phoneticPr fontId="1"/>
  </si>
  <si>
    <t>14年目：5月</t>
    <rPh sb="2" eb="3">
      <t>ネン</t>
    </rPh>
    <rPh sb="6" eb="7">
      <t>ガツ</t>
    </rPh>
    <phoneticPr fontId="1"/>
  </si>
  <si>
    <t>14年目：6月</t>
    <rPh sb="2" eb="3">
      <t>ネン</t>
    </rPh>
    <rPh sb="6" eb="7">
      <t>ガツ</t>
    </rPh>
    <phoneticPr fontId="1"/>
  </si>
  <si>
    <t>14年目：7月</t>
    <rPh sb="2" eb="3">
      <t>ネン</t>
    </rPh>
    <rPh sb="6" eb="7">
      <t>ガツ</t>
    </rPh>
    <phoneticPr fontId="1"/>
  </si>
  <si>
    <t>14年目：8月</t>
    <rPh sb="2" eb="3">
      <t>ネン</t>
    </rPh>
    <rPh sb="6" eb="7">
      <t>ガツ</t>
    </rPh>
    <phoneticPr fontId="1"/>
  </si>
  <si>
    <t>14年目：9月</t>
    <rPh sb="2" eb="3">
      <t>ネン</t>
    </rPh>
    <rPh sb="6" eb="7">
      <t>ガツ</t>
    </rPh>
    <phoneticPr fontId="1"/>
  </si>
  <si>
    <t>14年目：10月</t>
    <rPh sb="2" eb="3">
      <t>ネン</t>
    </rPh>
    <rPh sb="7" eb="8">
      <t>ガツ</t>
    </rPh>
    <phoneticPr fontId="1"/>
  </si>
  <si>
    <t>14年目：11月</t>
    <rPh sb="2" eb="3">
      <t>ネン</t>
    </rPh>
    <rPh sb="7" eb="8">
      <t>ガツ</t>
    </rPh>
    <phoneticPr fontId="1"/>
  </si>
  <si>
    <t>14年目：12月</t>
    <rPh sb="2" eb="3">
      <t>ネン</t>
    </rPh>
    <rPh sb="7" eb="8">
      <t>ガツ</t>
    </rPh>
    <phoneticPr fontId="1"/>
  </si>
  <si>
    <t>15年目：1月</t>
    <rPh sb="2" eb="3">
      <t>ネン</t>
    </rPh>
    <rPh sb="6" eb="7">
      <t>ガツ</t>
    </rPh>
    <phoneticPr fontId="1"/>
  </si>
  <si>
    <t>15年目：2月</t>
    <rPh sb="2" eb="3">
      <t>ネン</t>
    </rPh>
    <rPh sb="6" eb="7">
      <t>ガツ</t>
    </rPh>
    <phoneticPr fontId="1"/>
  </si>
  <si>
    <t>15年目：3月</t>
    <rPh sb="2" eb="3">
      <t>ネン</t>
    </rPh>
    <rPh sb="6" eb="7">
      <t>ガツ</t>
    </rPh>
    <phoneticPr fontId="1"/>
  </si>
  <si>
    <t>15年目：4月</t>
    <rPh sb="2" eb="3">
      <t>ネン</t>
    </rPh>
    <rPh sb="6" eb="7">
      <t>ガツ</t>
    </rPh>
    <phoneticPr fontId="1"/>
  </si>
  <si>
    <t>15年目：5月</t>
    <rPh sb="2" eb="3">
      <t>ネン</t>
    </rPh>
    <rPh sb="6" eb="7">
      <t>ガツ</t>
    </rPh>
    <phoneticPr fontId="1"/>
  </si>
  <si>
    <t>15年目：6月</t>
    <rPh sb="2" eb="3">
      <t>ネン</t>
    </rPh>
    <rPh sb="6" eb="7">
      <t>ガツ</t>
    </rPh>
    <phoneticPr fontId="1"/>
  </si>
  <si>
    <t>15年目：7月</t>
    <rPh sb="2" eb="3">
      <t>ネン</t>
    </rPh>
    <rPh sb="6" eb="7">
      <t>ガツ</t>
    </rPh>
    <phoneticPr fontId="1"/>
  </si>
  <si>
    <t>15年目：8月</t>
    <rPh sb="2" eb="3">
      <t>ネン</t>
    </rPh>
    <rPh sb="6" eb="7">
      <t>ガツ</t>
    </rPh>
    <phoneticPr fontId="1"/>
  </si>
  <si>
    <t>15年目：9月</t>
    <rPh sb="2" eb="3">
      <t>ネン</t>
    </rPh>
    <rPh sb="6" eb="7">
      <t>ガツ</t>
    </rPh>
    <phoneticPr fontId="1"/>
  </si>
  <si>
    <t>15年目：10月</t>
    <rPh sb="2" eb="3">
      <t>ネン</t>
    </rPh>
    <rPh sb="7" eb="8">
      <t>ガツ</t>
    </rPh>
    <phoneticPr fontId="1"/>
  </si>
  <si>
    <t>15年目：11月</t>
    <rPh sb="2" eb="3">
      <t>ネン</t>
    </rPh>
    <rPh sb="7" eb="8">
      <t>ガツ</t>
    </rPh>
    <phoneticPr fontId="1"/>
  </si>
  <si>
    <t>15年目：12月</t>
    <rPh sb="2" eb="3">
      <t>ネン</t>
    </rPh>
    <rPh sb="7" eb="8">
      <t>ガツ</t>
    </rPh>
    <phoneticPr fontId="1"/>
  </si>
  <si>
    <t>16年目：1月</t>
    <rPh sb="2" eb="3">
      <t>ネン</t>
    </rPh>
    <rPh sb="6" eb="7">
      <t>ガツ</t>
    </rPh>
    <phoneticPr fontId="1"/>
  </si>
  <si>
    <t>16年目：2月</t>
    <rPh sb="2" eb="3">
      <t>ネン</t>
    </rPh>
    <rPh sb="6" eb="7">
      <t>ガツ</t>
    </rPh>
    <phoneticPr fontId="1"/>
  </si>
  <si>
    <t>16年目：3月</t>
    <rPh sb="2" eb="3">
      <t>ネン</t>
    </rPh>
    <rPh sb="6" eb="7">
      <t>ガツ</t>
    </rPh>
    <phoneticPr fontId="1"/>
  </si>
  <si>
    <t>16年目：4月</t>
    <rPh sb="2" eb="3">
      <t>ネン</t>
    </rPh>
    <rPh sb="6" eb="7">
      <t>ガツ</t>
    </rPh>
    <phoneticPr fontId="1"/>
  </si>
  <si>
    <t>16年目：5月</t>
    <rPh sb="2" eb="3">
      <t>ネン</t>
    </rPh>
    <rPh sb="6" eb="7">
      <t>ガツ</t>
    </rPh>
    <phoneticPr fontId="1"/>
  </si>
  <si>
    <t>16年目：6月</t>
    <rPh sb="2" eb="3">
      <t>ネン</t>
    </rPh>
    <rPh sb="6" eb="7">
      <t>ガツ</t>
    </rPh>
    <phoneticPr fontId="1"/>
  </si>
  <si>
    <t>16年目：7月</t>
    <rPh sb="2" eb="3">
      <t>ネン</t>
    </rPh>
    <rPh sb="6" eb="7">
      <t>ガツ</t>
    </rPh>
    <phoneticPr fontId="1"/>
  </si>
  <si>
    <t>16年目：8月</t>
    <rPh sb="2" eb="3">
      <t>ネン</t>
    </rPh>
    <rPh sb="6" eb="7">
      <t>ガツ</t>
    </rPh>
    <phoneticPr fontId="1"/>
  </si>
  <si>
    <t>16年目：9月</t>
    <rPh sb="2" eb="3">
      <t>ネン</t>
    </rPh>
    <rPh sb="6" eb="7">
      <t>ガツ</t>
    </rPh>
    <phoneticPr fontId="1"/>
  </si>
  <si>
    <t>16年目：10月</t>
    <rPh sb="2" eb="3">
      <t>ネン</t>
    </rPh>
    <rPh sb="7" eb="8">
      <t>ガツ</t>
    </rPh>
    <phoneticPr fontId="1"/>
  </si>
  <si>
    <t>16年目：11月</t>
    <rPh sb="2" eb="3">
      <t>ネン</t>
    </rPh>
    <rPh sb="7" eb="8">
      <t>ガツ</t>
    </rPh>
    <phoneticPr fontId="1"/>
  </si>
  <si>
    <t>16年目：12月</t>
    <rPh sb="2" eb="3">
      <t>ネン</t>
    </rPh>
    <rPh sb="7" eb="8">
      <t>ガツ</t>
    </rPh>
    <phoneticPr fontId="1"/>
  </si>
  <si>
    <t>17年目：1月</t>
    <rPh sb="2" eb="3">
      <t>ネン</t>
    </rPh>
    <rPh sb="6" eb="7">
      <t>ガツ</t>
    </rPh>
    <phoneticPr fontId="1"/>
  </si>
  <si>
    <t>17年目：2月</t>
    <rPh sb="2" eb="3">
      <t>ネン</t>
    </rPh>
    <rPh sb="6" eb="7">
      <t>ガツ</t>
    </rPh>
    <phoneticPr fontId="1"/>
  </si>
  <si>
    <t>17年目：3月</t>
    <rPh sb="2" eb="3">
      <t>ネン</t>
    </rPh>
    <rPh sb="6" eb="7">
      <t>ガツ</t>
    </rPh>
    <phoneticPr fontId="1"/>
  </si>
  <si>
    <t>17年目：4月</t>
    <rPh sb="2" eb="3">
      <t>ネン</t>
    </rPh>
    <rPh sb="6" eb="7">
      <t>ガツ</t>
    </rPh>
    <phoneticPr fontId="1"/>
  </si>
  <si>
    <t>17年目：5月</t>
    <rPh sb="2" eb="3">
      <t>ネン</t>
    </rPh>
    <rPh sb="6" eb="7">
      <t>ガツ</t>
    </rPh>
    <phoneticPr fontId="1"/>
  </si>
  <si>
    <t>17年目：6月</t>
    <rPh sb="2" eb="3">
      <t>ネン</t>
    </rPh>
    <rPh sb="6" eb="7">
      <t>ガツ</t>
    </rPh>
    <phoneticPr fontId="1"/>
  </si>
  <si>
    <t>17年目：7月</t>
    <rPh sb="2" eb="3">
      <t>ネン</t>
    </rPh>
    <rPh sb="6" eb="7">
      <t>ガツ</t>
    </rPh>
    <phoneticPr fontId="1"/>
  </si>
  <si>
    <t>17年目：8月</t>
    <rPh sb="2" eb="3">
      <t>ネン</t>
    </rPh>
    <rPh sb="6" eb="7">
      <t>ガツ</t>
    </rPh>
    <phoneticPr fontId="1"/>
  </si>
  <si>
    <t>17年目：9月</t>
    <rPh sb="2" eb="3">
      <t>ネン</t>
    </rPh>
    <rPh sb="6" eb="7">
      <t>ガツ</t>
    </rPh>
    <phoneticPr fontId="1"/>
  </si>
  <si>
    <t>17年目：10月</t>
    <rPh sb="2" eb="3">
      <t>ネン</t>
    </rPh>
    <rPh sb="7" eb="8">
      <t>ガツ</t>
    </rPh>
    <phoneticPr fontId="1"/>
  </si>
  <si>
    <t>17年目：11月</t>
    <rPh sb="2" eb="3">
      <t>ネン</t>
    </rPh>
    <rPh sb="7" eb="8">
      <t>ガツ</t>
    </rPh>
    <phoneticPr fontId="1"/>
  </si>
  <si>
    <t>17年目：12月</t>
    <rPh sb="2" eb="3">
      <t>ネン</t>
    </rPh>
    <rPh sb="7" eb="8">
      <t>ガツ</t>
    </rPh>
    <phoneticPr fontId="1"/>
  </si>
  <si>
    <t>18年目：1月</t>
    <rPh sb="2" eb="3">
      <t>ネン</t>
    </rPh>
    <rPh sb="6" eb="7">
      <t>ガツ</t>
    </rPh>
    <phoneticPr fontId="1"/>
  </si>
  <si>
    <t>18年目：2月</t>
    <rPh sb="2" eb="3">
      <t>ネン</t>
    </rPh>
    <rPh sb="6" eb="7">
      <t>ガツ</t>
    </rPh>
    <phoneticPr fontId="1"/>
  </si>
  <si>
    <t>18年目：3月</t>
    <rPh sb="2" eb="3">
      <t>ネン</t>
    </rPh>
    <rPh sb="6" eb="7">
      <t>ガツ</t>
    </rPh>
    <phoneticPr fontId="1"/>
  </si>
  <si>
    <t>18年目：4月</t>
    <rPh sb="2" eb="3">
      <t>ネン</t>
    </rPh>
    <rPh sb="6" eb="7">
      <t>ガツ</t>
    </rPh>
    <phoneticPr fontId="1"/>
  </si>
  <si>
    <t>18年目：5月</t>
    <rPh sb="2" eb="3">
      <t>ネン</t>
    </rPh>
    <rPh sb="6" eb="7">
      <t>ガツ</t>
    </rPh>
    <phoneticPr fontId="1"/>
  </si>
  <si>
    <t>18年目：6月</t>
    <rPh sb="2" eb="3">
      <t>ネン</t>
    </rPh>
    <rPh sb="6" eb="7">
      <t>ガツ</t>
    </rPh>
    <phoneticPr fontId="1"/>
  </si>
  <si>
    <t>18年目：7月</t>
    <rPh sb="2" eb="3">
      <t>ネン</t>
    </rPh>
    <rPh sb="6" eb="7">
      <t>ガツ</t>
    </rPh>
    <phoneticPr fontId="1"/>
  </si>
  <si>
    <t>18年目：8月</t>
    <rPh sb="2" eb="3">
      <t>ネン</t>
    </rPh>
    <rPh sb="6" eb="7">
      <t>ガツ</t>
    </rPh>
    <phoneticPr fontId="1"/>
  </si>
  <si>
    <t>18年目：9月</t>
    <rPh sb="2" eb="3">
      <t>ネン</t>
    </rPh>
    <rPh sb="6" eb="7">
      <t>ガツ</t>
    </rPh>
    <phoneticPr fontId="1"/>
  </si>
  <si>
    <t>18年目：10月</t>
    <rPh sb="2" eb="3">
      <t>ネン</t>
    </rPh>
    <rPh sb="7" eb="8">
      <t>ガツ</t>
    </rPh>
    <phoneticPr fontId="1"/>
  </si>
  <si>
    <t>18年目：11月</t>
    <rPh sb="2" eb="3">
      <t>ネン</t>
    </rPh>
    <rPh sb="7" eb="8">
      <t>ガツ</t>
    </rPh>
    <phoneticPr fontId="1"/>
  </si>
  <si>
    <t>18年目：12月</t>
    <rPh sb="2" eb="3">
      <t>ネン</t>
    </rPh>
    <rPh sb="7" eb="8">
      <t>ガツ</t>
    </rPh>
    <phoneticPr fontId="1"/>
  </si>
  <si>
    <t>19年目：1月</t>
    <rPh sb="2" eb="3">
      <t>ネン</t>
    </rPh>
    <rPh sb="6" eb="7">
      <t>ガツ</t>
    </rPh>
    <phoneticPr fontId="1"/>
  </si>
  <si>
    <t>19年目：2月</t>
    <rPh sb="2" eb="3">
      <t>ネン</t>
    </rPh>
    <rPh sb="6" eb="7">
      <t>ガツ</t>
    </rPh>
    <phoneticPr fontId="1"/>
  </si>
  <si>
    <t>19年目：3月</t>
    <rPh sb="2" eb="3">
      <t>ネン</t>
    </rPh>
    <rPh sb="6" eb="7">
      <t>ガツ</t>
    </rPh>
    <phoneticPr fontId="1"/>
  </si>
  <si>
    <t>19年目：4月</t>
    <rPh sb="2" eb="3">
      <t>ネン</t>
    </rPh>
    <rPh sb="6" eb="7">
      <t>ガツ</t>
    </rPh>
    <phoneticPr fontId="1"/>
  </si>
  <si>
    <t>19年目：5月</t>
    <rPh sb="2" eb="3">
      <t>ネン</t>
    </rPh>
    <rPh sb="6" eb="7">
      <t>ガツ</t>
    </rPh>
    <phoneticPr fontId="1"/>
  </si>
  <si>
    <t>19年目：6月</t>
    <rPh sb="2" eb="3">
      <t>ネン</t>
    </rPh>
    <rPh sb="6" eb="7">
      <t>ガツ</t>
    </rPh>
    <phoneticPr fontId="1"/>
  </si>
  <si>
    <t>19年目：7月</t>
    <rPh sb="2" eb="3">
      <t>ネン</t>
    </rPh>
    <rPh sb="6" eb="7">
      <t>ガツ</t>
    </rPh>
    <phoneticPr fontId="1"/>
  </si>
  <si>
    <t>19年目：8月</t>
    <rPh sb="2" eb="3">
      <t>ネン</t>
    </rPh>
    <rPh sb="6" eb="7">
      <t>ガツ</t>
    </rPh>
    <phoneticPr fontId="1"/>
  </si>
  <si>
    <t>19年目：9月</t>
    <rPh sb="2" eb="3">
      <t>ネン</t>
    </rPh>
    <rPh sb="6" eb="7">
      <t>ガツ</t>
    </rPh>
    <phoneticPr fontId="1"/>
  </si>
  <si>
    <t>19年目：10月</t>
    <rPh sb="2" eb="3">
      <t>ネン</t>
    </rPh>
    <rPh sb="7" eb="8">
      <t>ガツ</t>
    </rPh>
    <phoneticPr fontId="1"/>
  </si>
  <si>
    <t>19年目：11月</t>
    <rPh sb="2" eb="3">
      <t>ネン</t>
    </rPh>
    <rPh sb="7" eb="8">
      <t>ガツ</t>
    </rPh>
    <phoneticPr fontId="1"/>
  </si>
  <si>
    <t>19年目：12月</t>
    <rPh sb="2" eb="3">
      <t>ネン</t>
    </rPh>
    <rPh sb="7" eb="8">
      <t>ガツ</t>
    </rPh>
    <phoneticPr fontId="1"/>
  </si>
  <si>
    <t>20年目：1月</t>
    <rPh sb="2" eb="3">
      <t>ネン</t>
    </rPh>
    <rPh sb="6" eb="7">
      <t>ガツ</t>
    </rPh>
    <phoneticPr fontId="1"/>
  </si>
  <si>
    <t>20年目：2月</t>
    <rPh sb="2" eb="3">
      <t>ネン</t>
    </rPh>
    <rPh sb="6" eb="7">
      <t>ガツ</t>
    </rPh>
    <phoneticPr fontId="1"/>
  </si>
  <si>
    <t>20年目：3月</t>
    <rPh sb="2" eb="3">
      <t>ネン</t>
    </rPh>
    <rPh sb="6" eb="7">
      <t>ガツ</t>
    </rPh>
    <phoneticPr fontId="1"/>
  </si>
  <si>
    <t>20年目：4月</t>
    <rPh sb="2" eb="3">
      <t>ネン</t>
    </rPh>
    <rPh sb="6" eb="7">
      <t>ガツ</t>
    </rPh>
    <phoneticPr fontId="1"/>
  </si>
  <si>
    <t>20年目：5月</t>
    <rPh sb="2" eb="3">
      <t>ネン</t>
    </rPh>
    <rPh sb="6" eb="7">
      <t>ガツ</t>
    </rPh>
    <phoneticPr fontId="1"/>
  </si>
  <si>
    <t>20年目：6月</t>
    <rPh sb="2" eb="3">
      <t>ネン</t>
    </rPh>
    <rPh sb="6" eb="7">
      <t>ガツ</t>
    </rPh>
    <phoneticPr fontId="1"/>
  </si>
  <si>
    <t>20年目：7月</t>
    <rPh sb="2" eb="3">
      <t>ネン</t>
    </rPh>
    <rPh sb="6" eb="7">
      <t>ガツ</t>
    </rPh>
    <phoneticPr fontId="1"/>
  </si>
  <si>
    <t>20年目：8月</t>
    <rPh sb="2" eb="3">
      <t>ネン</t>
    </rPh>
    <rPh sb="6" eb="7">
      <t>ガツ</t>
    </rPh>
    <phoneticPr fontId="1"/>
  </si>
  <si>
    <t>20年目：9月</t>
    <rPh sb="2" eb="3">
      <t>ネン</t>
    </rPh>
    <rPh sb="6" eb="7">
      <t>ガツ</t>
    </rPh>
    <phoneticPr fontId="1"/>
  </si>
  <si>
    <t>20年目：10月</t>
    <rPh sb="2" eb="3">
      <t>ネン</t>
    </rPh>
    <rPh sb="7" eb="8">
      <t>ガツ</t>
    </rPh>
    <phoneticPr fontId="1"/>
  </si>
  <si>
    <t>20年目：11月</t>
    <rPh sb="2" eb="3">
      <t>ネン</t>
    </rPh>
    <rPh sb="7" eb="8">
      <t>ガツ</t>
    </rPh>
    <phoneticPr fontId="1"/>
  </si>
  <si>
    <t>20年目：12月</t>
    <rPh sb="2" eb="3">
      <t>ネン</t>
    </rPh>
    <rPh sb="7" eb="8">
      <t>ガツ</t>
    </rPh>
    <phoneticPr fontId="1"/>
  </si>
  <si>
    <t>21年目：1月</t>
    <rPh sb="2" eb="3">
      <t>ネン</t>
    </rPh>
    <rPh sb="6" eb="7">
      <t>ガツ</t>
    </rPh>
    <phoneticPr fontId="1"/>
  </si>
  <si>
    <t>21年目：2月</t>
    <rPh sb="2" eb="3">
      <t>ネン</t>
    </rPh>
    <rPh sb="6" eb="7">
      <t>ガツ</t>
    </rPh>
    <phoneticPr fontId="1"/>
  </si>
  <si>
    <t>21年目：3月</t>
    <rPh sb="2" eb="3">
      <t>ネン</t>
    </rPh>
    <rPh sb="6" eb="7">
      <t>ガツ</t>
    </rPh>
    <phoneticPr fontId="1"/>
  </si>
  <si>
    <t>21年目：4月</t>
    <rPh sb="2" eb="3">
      <t>ネン</t>
    </rPh>
    <rPh sb="6" eb="7">
      <t>ガツ</t>
    </rPh>
    <phoneticPr fontId="1"/>
  </si>
  <si>
    <t>21年目：5月</t>
    <rPh sb="2" eb="3">
      <t>ネン</t>
    </rPh>
    <rPh sb="6" eb="7">
      <t>ガツ</t>
    </rPh>
    <phoneticPr fontId="1"/>
  </si>
  <si>
    <t>21年目：6月</t>
    <rPh sb="2" eb="3">
      <t>ネン</t>
    </rPh>
    <rPh sb="6" eb="7">
      <t>ガツ</t>
    </rPh>
    <phoneticPr fontId="1"/>
  </si>
  <si>
    <t>21年目：7月</t>
    <rPh sb="2" eb="3">
      <t>ネン</t>
    </rPh>
    <rPh sb="6" eb="7">
      <t>ガツ</t>
    </rPh>
    <phoneticPr fontId="1"/>
  </si>
  <si>
    <t>21年目：8月</t>
    <rPh sb="2" eb="3">
      <t>ネン</t>
    </rPh>
    <rPh sb="6" eb="7">
      <t>ガツ</t>
    </rPh>
    <phoneticPr fontId="1"/>
  </si>
  <si>
    <t>21年目：9月</t>
    <rPh sb="2" eb="3">
      <t>ネン</t>
    </rPh>
    <rPh sb="6" eb="7">
      <t>ガツ</t>
    </rPh>
    <phoneticPr fontId="1"/>
  </si>
  <si>
    <t>21年目：10月</t>
    <rPh sb="2" eb="3">
      <t>ネン</t>
    </rPh>
    <rPh sb="7" eb="8">
      <t>ガツ</t>
    </rPh>
    <phoneticPr fontId="1"/>
  </si>
  <si>
    <t>21年目：11月</t>
    <rPh sb="2" eb="3">
      <t>ネン</t>
    </rPh>
    <rPh sb="7" eb="8">
      <t>ガツ</t>
    </rPh>
    <phoneticPr fontId="1"/>
  </si>
  <si>
    <t>21年目：12月</t>
    <rPh sb="2" eb="3">
      <t>ネン</t>
    </rPh>
    <rPh sb="7" eb="8">
      <t>ガツ</t>
    </rPh>
    <phoneticPr fontId="1"/>
  </si>
  <si>
    <t>22年目：1月</t>
    <rPh sb="2" eb="3">
      <t>ネン</t>
    </rPh>
    <rPh sb="6" eb="7">
      <t>ガツ</t>
    </rPh>
    <phoneticPr fontId="1"/>
  </si>
  <si>
    <t>22年目：2月</t>
    <rPh sb="2" eb="3">
      <t>ネン</t>
    </rPh>
    <rPh sb="6" eb="7">
      <t>ガツ</t>
    </rPh>
    <phoneticPr fontId="1"/>
  </si>
  <si>
    <t>22年目：3月</t>
    <rPh sb="2" eb="3">
      <t>ネン</t>
    </rPh>
    <rPh sb="6" eb="7">
      <t>ガツ</t>
    </rPh>
    <phoneticPr fontId="1"/>
  </si>
  <si>
    <t>22年目：4月</t>
    <rPh sb="2" eb="3">
      <t>ネン</t>
    </rPh>
    <rPh sb="6" eb="7">
      <t>ガツ</t>
    </rPh>
    <phoneticPr fontId="1"/>
  </si>
  <si>
    <t>22年目：5月</t>
    <rPh sb="2" eb="3">
      <t>ネン</t>
    </rPh>
    <rPh sb="6" eb="7">
      <t>ガツ</t>
    </rPh>
    <phoneticPr fontId="1"/>
  </si>
  <si>
    <t>22年目：6月</t>
    <rPh sb="2" eb="3">
      <t>ネン</t>
    </rPh>
    <rPh sb="6" eb="7">
      <t>ガツ</t>
    </rPh>
    <phoneticPr fontId="1"/>
  </si>
  <si>
    <t>22年目：7月</t>
    <rPh sb="2" eb="3">
      <t>ネン</t>
    </rPh>
    <rPh sb="6" eb="7">
      <t>ガツ</t>
    </rPh>
    <phoneticPr fontId="1"/>
  </si>
  <si>
    <t>22年目：8月</t>
    <rPh sb="2" eb="3">
      <t>ネン</t>
    </rPh>
    <rPh sb="6" eb="7">
      <t>ガツ</t>
    </rPh>
    <phoneticPr fontId="1"/>
  </si>
  <si>
    <t>22年目：9月</t>
    <rPh sb="2" eb="3">
      <t>ネン</t>
    </rPh>
    <rPh sb="6" eb="7">
      <t>ガツ</t>
    </rPh>
    <phoneticPr fontId="1"/>
  </si>
  <si>
    <t>22年目：10月</t>
    <rPh sb="2" eb="3">
      <t>ネン</t>
    </rPh>
    <rPh sb="7" eb="8">
      <t>ガツ</t>
    </rPh>
    <phoneticPr fontId="1"/>
  </si>
  <si>
    <t>22年目：11月</t>
    <rPh sb="2" eb="3">
      <t>ネン</t>
    </rPh>
    <rPh sb="7" eb="8">
      <t>ガツ</t>
    </rPh>
    <phoneticPr fontId="1"/>
  </si>
  <si>
    <t>22年目：12月</t>
    <rPh sb="2" eb="3">
      <t>ネン</t>
    </rPh>
    <rPh sb="7" eb="8">
      <t>ガツ</t>
    </rPh>
    <phoneticPr fontId="1"/>
  </si>
  <si>
    <t>23年目：1月</t>
    <rPh sb="2" eb="3">
      <t>ネン</t>
    </rPh>
    <rPh sb="6" eb="7">
      <t>ガツ</t>
    </rPh>
    <phoneticPr fontId="1"/>
  </si>
  <si>
    <t>23年目：2月</t>
    <rPh sb="2" eb="3">
      <t>ネン</t>
    </rPh>
    <rPh sb="6" eb="7">
      <t>ガツ</t>
    </rPh>
    <phoneticPr fontId="1"/>
  </si>
  <si>
    <t>23年目：3月</t>
    <rPh sb="2" eb="3">
      <t>ネン</t>
    </rPh>
    <rPh sb="6" eb="7">
      <t>ガツ</t>
    </rPh>
    <phoneticPr fontId="1"/>
  </si>
  <si>
    <t>23年目：4月</t>
    <rPh sb="2" eb="3">
      <t>ネン</t>
    </rPh>
    <rPh sb="6" eb="7">
      <t>ガツ</t>
    </rPh>
    <phoneticPr fontId="1"/>
  </si>
  <si>
    <t>23年目：5月</t>
    <rPh sb="2" eb="3">
      <t>ネン</t>
    </rPh>
    <rPh sb="6" eb="7">
      <t>ガツ</t>
    </rPh>
    <phoneticPr fontId="1"/>
  </si>
  <si>
    <t>23年目：6月</t>
    <rPh sb="2" eb="3">
      <t>ネン</t>
    </rPh>
    <rPh sb="6" eb="7">
      <t>ガツ</t>
    </rPh>
    <phoneticPr fontId="1"/>
  </si>
  <si>
    <t>23年目：7月</t>
    <rPh sb="2" eb="3">
      <t>ネン</t>
    </rPh>
    <rPh sb="6" eb="7">
      <t>ガツ</t>
    </rPh>
    <phoneticPr fontId="1"/>
  </si>
  <si>
    <t>23年目：8月</t>
    <rPh sb="2" eb="3">
      <t>ネン</t>
    </rPh>
    <rPh sb="6" eb="7">
      <t>ガツ</t>
    </rPh>
    <phoneticPr fontId="1"/>
  </si>
  <si>
    <t>23年目：9月</t>
    <rPh sb="2" eb="3">
      <t>ネン</t>
    </rPh>
    <rPh sb="6" eb="7">
      <t>ガツ</t>
    </rPh>
    <phoneticPr fontId="1"/>
  </si>
  <si>
    <t>23年目：10月</t>
    <rPh sb="2" eb="3">
      <t>ネン</t>
    </rPh>
    <rPh sb="7" eb="8">
      <t>ガツ</t>
    </rPh>
    <phoneticPr fontId="1"/>
  </si>
  <si>
    <t>23年目：11月</t>
    <rPh sb="2" eb="3">
      <t>ネン</t>
    </rPh>
    <rPh sb="7" eb="8">
      <t>ガツ</t>
    </rPh>
    <phoneticPr fontId="1"/>
  </si>
  <si>
    <t>23年目：12月</t>
    <rPh sb="2" eb="3">
      <t>ネン</t>
    </rPh>
    <rPh sb="7" eb="8">
      <t>ガツ</t>
    </rPh>
    <phoneticPr fontId="1"/>
  </si>
  <si>
    <t>24年目：1月</t>
    <rPh sb="2" eb="3">
      <t>ネン</t>
    </rPh>
    <rPh sb="6" eb="7">
      <t>ガツ</t>
    </rPh>
    <phoneticPr fontId="1"/>
  </si>
  <si>
    <t>24年目：2月</t>
    <rPh sb="2" eb="3">
      <t>ネン</t>
    </rPh>
    <rPh sb="6" eb="7">
      <t>ガツ</t>
    </rPh>
    <phoneticPr fontId="1"/>
  </si>
  <si>
    <t>24年目：3月</t>
    <rPh sb="2" eb="3">
      <t>ネン</t>
    </rPh>
    <rPh sb="6" eb="7">
      <t>ガツ</t>
    </rPh>
    <phoneticPr fontId="1"/>
  </si>
  <si>
    <t>24年目：4月</t>
    <rPh sb="2" eb="3">
      <t>ネン</t>
    </rPh>
    <rPh sb="6" eb="7">
      <t>ガツ</t>
    </rPh>
    <phoneticPr fontId="1"/>
  </si>
  <si>
    <t>24年目：5月</t>
    <rPh sb="2" eb="3">
      <t>ネン</t>
    </rPh>
    <rPh sb="6" eb="7">
      <t>ガツ</t>
    </rPh>
    <phoneticPr fontId="1"/>
  </si>
  <si>
    <t>24年目：6月</t>
    <rPh sb="2" eb="3">
      <t>ネン</t>
    </rPh>
    <rPh sb="6" eb="7">
      <t>ガツ</t>
    </rPh>
    <phoneticPr fontId="1"/>
  </si>
  <si>
    <t>24年目：7月</t>
    <rPh sb="2" eb="3">
      <t>ネン</t>
    </rPh>
    <rPh sb="6" eb="7">
      <t>ガツ</t>
    </rPh>
    <phoneticPr fontId="1"/>
  </si>
  <si>
    <t>24年目：8月</t>
    <rPh sb="2" eb="3">
      <t>ネン</t>
    </rPh>
    <rPh sb="6" eb="7">
      <t>ガツ</t>
    </rPh>
    <phoneticPr fontId="1"/>
  </si>
  <si>
    <t>24年目：9月</t>
    <rPh sb="2" eb="3">
      <t>ネン</t>
    </rPh>
    <rPh sb="6" eb="7">
      <t>ガツ</t>
    </rPh>
    <phoneticPr fontId="1"/>
  </si>
  <si>
    <t>24年目：10月</t>
    <rPh sb="2" eb="3">
      <t>ネン</t>
    </rPh>
    <rPh sb="7" eb="8">
      <t>ガツ</t>
    </rPh>
    <phoneticPr fontId="1"/>
  </si>
  <si>
    <t>24年目：11月</t>
    <rPh sb="2" eb="3">
      <t>ネン</t>
    </rPh>
    <rPh sb="7" eb="8">
      <t>ガツ</t>
    </rPh>
    <phoneticPr fontId="1"/>
  </si>
  <si>
    <t>24年目：12月</t>
    <rPh sb="2" eb="3">
      <t>ネン</t>
    </rPh>
    <rPh sb="7" eb="8">
      <t>ガツ</t>
    </rPh>
    <phoneticPr fontId="1"/>
  </si>
  <si>
    <t>25年目：1月</t>
    <rPh sb="2" eb="3">
      <t>ネン</t>
    </rPh>
    <rPh sb="6" eb="7">
      <t>ガツ</t>
    </rPh>
    <phoneticPr fontId="1"/>
  </si>
  <si>
    <t>25年目：2月</t>
    <rPh sb="2" eb="3">
      <t>ネン</t>
    </rPh>
    <rPh sb="6" eb="7">
      <t>ガツ</t>
    </rPh>
    <phoneticPr fontId="1"/>
  </si>
  <si>
    <t>25年目：3月</t>
    <rPh sb="2" eb="3">
      <t>ネン</t>
    </rPh>
    <rPh sb="6" eb="7">
      <t>ガツ</t>
    </rPh>
    <phoneticPr fontId="1"/>
  </si>
  <si>
    <t>25年目：4月</t>
    <rPh sb="2" eb="3">
      <t>ネン</t>
    </rPh>
    <rPh sb="6" eb="7">
      <t>ガツ</t>
    </rPh>
    <phoneticPr fontId="1"/>
  </si>
  <si>
    <t>25年目：5月</t>
    <rPh sb="2" eb="3">
      <t>ネン</t>
    </rPh>
    <rPh sb="6" eb="7">
      <t>ガツ</t>
    </rPh>
    <phoneticPr fontId="1"/>
  </si>
  <si>
    <t>25年目：6月</t>
    <rPh sb="2" eb="3">
      <t>ネン</t>
    </rPh>
    <rPh sb="6" eb="7">
      <t>ガツ</t>
    </rPh>
    <phoneticPr fontId="1"/>
  </si>
  <si>
    <t>25年目：7月</t>
    <rPh sb="2" eb="3">
      <t>ネン</t>
    </rPh>
    <rPh sb="6" eb="7">
      <t>ガツ</t>
    </rPh>
    <phoneticPr fontId="1"/>
  </si>
  <si>
    <t>25年目：8月</t>
    <rPh sb="2" eb="3">
      <t>ネン</t>
    </rPh>
    <rPh sb="6" eb="7">
      <t>ガツ</t>
    </rPh>
    <phoneticPr fontId="1"/>
  </si>
  <si>
    <t>25年目：9月</t>
    <rPh sb="2" eb="3">
      <t>ネン</t>
    </rPh>
    <rPh sb="6" eb="7">
      <t>ガツ</t>
    </rPh>
    <phoneticPr fontId="1"/>
  </si>
  <si>
    <t>25年目：10月</t>
    <rPh sb="2" eb="3">
      <t>ネン</t>
    </rPh>
    <rPh sb="7" eb="8">
      <t>ガツ</t>
    </rPh>
    <phoneticPr fontId="1"/>
  </si>
  <si>
    <t>25年目：11月</t>
    <rPh sb="2" eb="3">
      <t>ネン</t>
    </rPh>
    <rPh sb="7" eb="8">
      <t>ガツ</t>
    </rPh>
    <phoneticPr fontId="1"/>
  </si>
  <si>
    <t>25年目：12月</t>
    <rPh sb="2" eb="3">
      <t>ネン</t>
    </rPh>
    <rPh sb="7" eb="8">
      <t>ガツ</t>
    </rPh>
    <phoneticPr fontId="1"/>
  </si>
  <si>
    <t>26年目：1月</t>
    <rPh sb="2" eb="3">
      <t>ネン</t>
    </rPh>
    <rPh sb="6" eb="7">
      <t>ガツ</t>
    </rPh>
    <phoneticPr fontId="1"/>
  </si>
  <si>
    <t>26年目：2月</t>
    <rPh sb="2" eb="3">
      <t>ネン</t>
    </rPh>
    <rPh sb="6" eb="7">
      <t>ガツ</t>
    </rPh>
    <phoneticPr fontId="1"/>
  </si>
  <si>
    <t>26年目：3月</t>
    <rPh sb="2" eb="3">
      <t>ネン</t>
    </rPh>
    <rPh sb="6" eb="7">
      <t>ガツ</t>
    </rPh>
    <phoneticPr fontId="1"/>
  </si>
  <si>
    <t>26年目：4月</t>
    <rPh sb="2" eb="3">
      <t>ネン</t>
    </rPh>
    <rPh sb="6" eb="7">
      <t>ガツ</t>
    </rPh>
    <phoneticPr fontId="1"/>
  </si>
  <si>
    <t>26年目：5月</t>
    <rPh sb="2" eb="3">
      <t>ネン</t>
    </rPh>
    <rPh sb="6" eb="7">
      <t>ガツ</t>
    </rPh>
    <phoneticPr fontId="1"/>
  </si>
  <si>
    <t>26年目：6月</t>
    <rPh sb="2" eb="3">
      <t>ネン</t>
    </rPh>
    <rPh sb="6" eb="7">
      <t>ガツ</t>
    </rPh>
    <phoneticPr fontId="1"/>
  </si>
  <si>
    <t>26年目：7月</t>
    <rPh sb="2" eb="3">
      <t>ネン</t>
    </rPh>
    <rPh sb="6" eb="7">
      <t>ガツ</t>
    </rPh>
    <phoneticPr fontId="1"/>
  </si>
  <si>
    <t>26年目：8月</t>
    <rPh sb="2" eb="3">
      <t>ネン</t>
    </rPh>
    <rPh sb="6" eb="7">
      <t>ガツ</t>
    </rPh>
    <phoneticPr fontId="1"/>
  </si>
  <si>
    <t>26年目：9月</t>
    <rPh sb="2" eb="3">
      <t>ネン</t>
    </rPh>
    <rPh sb="6" eb="7">
      <t>ガツ</t>
    </rPh>
    <phoneticPr fontId="1"/>
  </si>
  <si>
    <t>26年目：10月</t>
    <rPh sb="2" eb="3">
      <t>ネン</t>
    </rPh>
    <rPh sb="7" eb="8">
      <t>ガツ</t>
    </rPh>
    <phoneticPr fontId="1"/>
  </si>
  <si>
    <t>26年目：11月</t>
    <rPh sb="2" eb="3">
      <t>ネン</t>
    </rPh>
    <rPh sb="7" eb="8">
      <t>ガツ</t>
    </rPh>
    <phoneticPr fontId="1"/>
  </si>
  <si>
    <t>26年目：12月</t>
    <rPh sb="2" eb="3">
      <t>ネン</t>
    </rPh>
    <rPh sb="7" eb="8">
      <t>ガツ</t>
    </rPh>
    <phoneticPr fontId="1"/>
  </si>
  <si>
    <t>27年目：1月</t>
    <rPh sb="2" eb="3">
      <t>ネン</t>
    </rPh>
    <rPh sb="6" eb="7">
      <t>ガツ</t>
    </rPh>
    <phoneticPr fontId="1"/>
  </si>
  <si>
    <t>27年目：2月</t>
    <rPh sb="2" eb="3">
      <t>ネン</t>
    </rPh>
    <rPh sb="6" eb="7">
      <t>ガツ</t>
    </rPh>
    <phoneticPr fontId="1"/>
  </si>
  <si>
    <t>27年目：3月</t>
    <rPh sb="2" eb="3">
      <t>ネン</t>
    </rPh>
    <rPh sb="6" eb="7">
      <t>ガツ</t>
    </rPh>
    <phoneticPr fontId="1"/>
  </si>
  <si>
    <t>27年目：4月</t>
    <rPh sb="2" eb="3">
      <t>ネン</t>
    </rPh>
    <rPh sb="6" eb="7">
      <t>ガツ</t>
    </rPh>
    <phoneticPr fontId="1"/>
  </si>
  <si>
    <t>27年目：5月</t>
    <rPh sb="2" eb="3">
      <t>ネン</t>
    </rPh>
    <rPh sb="6" eb="7">
      <t>ガツ</t>
    </rPh>
    <phoneticPr fontId="1"/>
  </si>
  <si>
    <t>27年目：6月</t>
    <rPh sb="2" eb="3">
      <t>ネン</t>
    </rPh>
    <rPh sb="6" eb="7">
      <t>ガツ</t>
    </rPh>
    <phoneticPr fontId="1"/>
  </si>
  <si>
    <t>27年目：7月</t>
    <rPh sb="2" eb="3">
      <t>ネン</t>
    </rPh>
    <rPh sb="6" eb="7">
      <t>ガツ</t>
    </rPh>
    <phoneticPr fontId="1"/>
  </si>
  <si>
    <t>27年目：8月</t>
    <rPh sb="2" eb="3">
      <t>ネン</t>
    </rPh>
    <rPh sb="6" eb="7">
      <t>ガツ</t>
    </rPh>
    <phoneticPr fontId="1"/>
  </si>
  <si>
    <t>27年目：9月</t>
    <rPh sb="2" eb="3">
      <t>ネン</t>
    </rPh>
    <rPh sb="6" eb="7">
      <t>ガツ</t>
    </rPh>
    <phoneticPr fontId="1"/>
  </si>
  <si>
    <t>27年目：10月</t>
    <rPh sb="2" eb="3">
      <t>ネン</t>
    </rPh>
    <rPh sb="7" eb="8">
      <t>ガツ</t>
    </rPh>
    <phoneticPr fontId="1"/>
  </si>
  <si>
    <t>27年目：11月</t>
    <rPh sb="2" eb="3">
      <t>ネン</t>
    </rPh>
    <rPh sb="7" eb="8">
      <t>ガツ</t>
    </rPh>
    <phoneticPr fontId="1"/>
  </si>
  <si>
    <t>27年目：12月</t>
    <rPh sb="2" eb="3">
      <t>ネン</t>
    </rPh>
    <rPh sb="7" eb="8">
      <t>ガツ</t>
    </rPh>
    <phoneticPr fontId="1"/>
  </si>
  <si>
    <t>28年目：1月</t>
    <rPh sb="2" eb="3">
      <t>ネン</t>
    </rPh>
    <rPh sb="6" eb="7">
      <t>ガツ</t>
    </rPh>
    <phoneticPr fontId="1"/>
  </si>
  <si>
    <t>28年目：2月</t>
    <rPh sb="2" eb="3">
      <t>ネン</t>
    </rPh>
    <rPh sb="6" eb="7">
      <t>ガツ</t>
    </rPh>
    <phoneticPr fontId="1"/>
  </si>
  <si>
    <t>28年目：3月</t>
    <rPh sb="2" eb="3">
      <t>ネン</t>
    </rPh>
    <rPh sb="6" eb="7">
      <t>ガツ</t>
    </rPh>
    <phoneticPr fontId="1"/>
  </si>
  <si>
    <t>28年目：4月</t>
    <rPh sb="2" eb="3">
      <t>ネン</t>
    </rPh>
    <rPh sb="6" eb="7">
      <t>ガツ</t>
    </rPh>
    <phoneticPr fontId="1"/>
  </si>
  <si>
    <t>28年目：5月</t>
    <rPh sb="2" eb="3">
      <t>ネン</t>
    </rPh>
    <rPh sb="6" eb="7">
      <t>ガツ</t>
    </rPh>
    <phoneticPr fontId="1"/>
  </si>
  <si>
    <t>28年目：6月</t>
    <rPh sb="2" eb="3">
      <t>ネン</t>
    </rPh>
    <rPh sb="6" eb="7">
      <t>ガツ</t>
    </rPh>
    <phoneticPr fontId="1"/>
  </si>
  <si>
    <t>28年目：7月</t>
    <rPh sb="2" eb="3">
      <t>ネン</t>
    </rPh>
    <rPh sb="6" eb="7">
      <t>ガツ</t>
    </rPh>
    <phoneticPr fontId="1"/>
  </si>
  <si>
    <t>28年目：8月</t>
    <rPh sb="2" eb="3">
      <t>ネン</t>
    </rPh>
    <rPh sb="6" eb="7">
      <t>ガツ</t>
    </rPh>
    <phoneticPr fontId="1"/>
  </si>
  <si>
    <t>28年目：9月</t>
    <rPh sb="2" eb="3">
      <t>ネン</t>
    </rPh>
    <rPh sb="6" eb="7">
      <t>ガツ</t>
    </rPh>
    <phoneticPr fontId="1"/>
  </si>
  <si>
    <t>28年目：10月</t>
    <rPh sb="2" eb="3">
      <t>ネン</t>
    </rPh>
    <rPh sb="7" eb="8">
      <t>ガツ</t>
    </rPh>
    <phoneticPr fontId="1"/>
  </si>
  <si>
    <t>28年目：11月</t>
    <rPh sb="2" eb="3">
      <t>ネン</t>
    </rPh>
    <rPh sb="7" eb="8">
      <t>ガツ</t>
    </rPh>
    <phoneticPr fontId="1"/>
  </si>
  <si>
    <t>28年目：12月</t>
    <rPh sb="2" eb="3">
      <t>ネン</t>
    </rPh>
    <rPh sb="7" eb="8">
      <t>ガツ</t>
    </rPh>
    <phoneticPr fontId="1"/>
  </si>
  <si>
    <t>29年目：1月</t>
    <rPh sb="2" eb="3">
      <t>ネン</t>
    </rPh>
    <rPh sb="6" eb="7">
      <t>ガツ</t>
    </rPh>
    <phoneticPr fontId="1"/>
  </si>
  <si>
    <t>29年目：2月</t>
    <rPh sb="2" eb="3">
      <t>ネン</t>
    </rPh>
    <rPh sb="6" eb="7">
      <t>ガツ</t>
    </rPh>
    <phoneticPr fontId="1"/>
  </si>
  <si>
    <t>29年目：3月</t>
    <rPh sb="2" eb="3">
      <t>ネン</t>
    </rPh>
    <rPh sb="6" eb="7">
      <t>ガツ</t>
    </rPh>
    <phoneticPr fontId="1"/>
  </si>
  <si>
    <t>29年目：4月</t>
    <rPh sb="2" eb="3">
      <t>ネン</t>
    </rPh>
    <rPh sb="6" eb="7">
      <t>ガツ</t>
    </rPh>
    <phoneticPr fontId="1"/>
  </si>
  <si>
    <t>29年目：5月</t>
    <rPh sb="2" eb="3">
      <t>ネン</t>
    </rPh>
    <rPh sb="6" eb="7">
      <t>ガツ</t>
    </rPh>
    <phoneticPr fontId="1"/>
  </si>
  <si>
    <t>29年目：6月</t>
    <rPh sb="2" eb="3">
      <t>ネン</t>
    </rPh>
    <rPh sb="6" eb="7">
      <t>ガツ</t>
    </rPh>
    <phoneticPr fontId="1"/>
  </si>
  <si>
    <t>29年目：7月</t>
    <rPh sb="2" eb="3">
      <t>ネン</t>
    </rPh>
    <rPh sb="6" eb="7">
      <t>ガツ</t>
    </rPh>
    <phoneticPr fontId="1"/>
  </si>
  <si>
    <t>29年目：8月</t>
    <rPh sb="2" eb="3">
      <t>ネン</t>
    </rPh>
    <rPh sb="6" eb="7">
      <t>ガツ</t>
    </rPh>
    <phoneticPr fontId="1"/>
  </si>
  <si>
    <t>29年目：9月</t>
    <rPh sb="2" eb="3">
      <t>ネン</t>
    </rPh>
    <rPh sb="6" eb="7">
      <t>ガツ</t>
    </rPh>
    <phoneticPr fontId="1"/>
  </si>
  <si>
    <t>29年目：10月</t>
    <rPh sb="2" eb="3">
      <t>ネン</t>
    </rPh>
    <rPh sb="7" eb="8">
      <t>ガツ</t>
    </rPh>
    <phoneticPr fontId="1"/>
  </si>
  <si>
    <t>29年目：11月</t>
    <rPh sb="2" eb="3">
      <t>ネン</t>
    </rPh>
    <rPh sb="7" eb="8">
      <t>ガツ</t>
    </rPh>
    <phoneticPr fontId="1"/>
  </si>
  <si>
    <t>29年目：12月</t>
    <rPh sb="2" eb="3">
      <t>ネン</t>
    </rPh>
    <rPh sb="7" eb="8">
      <t>ガツ</t>
    </rPh>
    <phoneticPr fontId="1"/>
  </si>
  <si>
    <t>30年目：1月</t>
    <rPh sb="2" eb="3">
      <t>ネン</t>
    </rPh>
    <rPh sb="6" eb="7">
      <t>ガツ</t>
    </rPh>
    <phoneticPr fontId="1"/>
  </si>
  <si>
    <t>30年目：2月</t>
    <rPh sb="2" eb="3">
      <t>ネン</t>
    </rPh>
    <rPh sb="6" eb="7">
      <t>ガツ</t>
    </rPh>
    <phoneticPr fontId="1"/>
  </si>
  <si>
    <t>30年目：3月</t>
    <rPh sb="2" eb="3">
      <t>ネン</t>
    </rPh>
    <rPh sb="6" eb="7">
      <t>ガツ</t>
    </rPh>
    <phoneticPr fontId="1"/>
  </si>
  <si>
    <t>30年目：4月</t>
    <rPh sb="2" eb="3">
      <t>ネン</t>
    </rPh>
    <rPh sb="6" eb="7">
      <t>ガツ</t>
    </rPh>
    <phoneticPr fontId="1"/>
  </si>
  <si>
    <t>30年目：5月</t>
    <rPh sb="2" eb="3">
      <t>ネン</t>
    </rPh>
    <rPh sb="6" eb="7">
      <t>ガツ</t>
    </rPh>
    <phoneticPr fontId="1"/>
  </si>
  <si>
    <t>30年目：6月</t>
    <rPh sb="2" eb="3">
      <t>ネン</t>
    </rPh>
    <rPh sb="6" eb="7">
      <t>ガツ</t>
    </rPh>
    <phoneticPr fontId="1"/>
  </si>
  <si>
    <t>30年目：7月</t>
    <rPh sb="2" eb="3">
      <t>ネン</t>
    </rPh>
    <rPh sb="6" eb="7">
      <t>ガツ</t>
    </rPh>
    <phoneticPr fontId="1"/>
  </si>
  <si>
    <t>30年目：8月</t>
    <rPh sb="2" eb="3">
      <t>ネン</t>
    </rPh>
    <rPh sb="6" eb="7">
      <t>ガツ</t>
    </rPh>
    <phoneticPr fontId="1"/>
  </si>
  <si>
    <t>30年目：9月</t>
    <rPh sb="2" eb="3">
      <t>ネン</t>
    </rPh>
    <rPh sb="6" eb="7">
      <t>ガツ</t>
    </rPh>
    <phoneticPr fontId="1"/>
  </si>
  <si>
    <t>30年目：10月</t>
    <rPh sb="2" eb="3">
      <t>ネン</t>
    </rPh>
    <rPh sb="7" eb="8">
      <t>ガツ</t>
    </rPh>
    <phoneticPr fontId="1"/>
  </si>
  <si>
    <t>30年目：11月</t>
    <rPh sb="2" eb="3">
      <t>ネン</t>
    </rPh>
    <rPh sb="7" eb="8">
      <t>ガツ</t>
    </rPh>
    <phoneticPr fontId="1"/>
  </si>
  <si>
    <t>30年目：12月</t>
    <rPh sb="2" eb="3">
      <t>ネン</t>
    </rPh>
    <rPh sb="7" eb="8">
      <t>ガツ</t>
    </rPh>
    <phoneticPr fontId="1"/>
  </si>
  <si>
    <t>31年目：1月</t>
    <rPh sb="2" eb="3">
      <t>ネン</t>
    </rPh>
    <rPh sb="6" eb="7">
      <t>ガツ</t>
    </rPh>
    <phoneticPr fontId="1"/>
  </si>
  <si>
    <t>31年目：2月</t>
    <rPh sb="2" eb="3">
      <t>ネン</t>
    </rPh>
    <rPh sb="6" eb="7">
      <t>ガツ</t>
    </rPh>
    <phoneticPr fontId="1"/>
  </si>
  <si>
    <t>31年目：3月</t>
    <rPh sb="2" eb="3">
      <t>ネン</t>
    </rPh>
    <rPh sb="6" eb="7">
      <t>ガツ</t>
    </rPh>
    <phoneticPr fontId="1"/>
  </si>
  <si>
    <t>31年目：4月</t>
    <rPh sb="2" eb="3">
      <t>ネン</t>
    </rPh>
    <rPh sb="6" eb="7">
      <t>ガツ</t>
    </rPh>
    <phoneticPr fontId="1"/>
  </si>
  <si>
    <t>31年目：5月</t>
    <rPh sb="2" eb="3">
      <t>ネン</t>
    </rPh>
    <rPh sb="6" eb="7">
      <t>ガツ</t>
    </rPh>
    <phoneticPr fontId="1"/>
  </si>
  <si>
    <t>31年目：6月</t>
    <rPh sb="2" eb="3">
      <t>ネン</t>
    </rPh>
    <rPh sb="6" eb="7">
      <t>ガツ</t>
    </rPh>
    <phoneticPr fontId="1"/>
  </si>
  <si>
    <t>31年目：7月</t>
    <rPh sb="2" eb="3">
      <t>ネン</t>
    </rPh>
    <rPh sb="6" eb="7">
      <t>ガツ</t>
    </rPh>
    <phoneticPr fontId="1"/>
  </si>
  <si>
    <t>31年目：8月</t>
    <rPh sb="2" eb="3">
      <t>ネン</t>
    </rPh>
    <rPh sb="6" eb="7">
      <t>ガツ</t>
    </rPh>
    <phoneticPr fontId="1"/>
  </si>
  <si>
    <t>31年目：9月</t>
    <rPh sb="2" eb="3">
      <t>ネン</t>
    </rPh>
    <rPh sb="6" eb="7">
      <t>ガツ</t>
    </rPh>
    <phoneticPr fontId="1"/>
  </si>
  <si>
    <t>31年目：10月</t>
    <rPh sb="2" eb="3">
      <t>ネン</t>
    </rPh>
    <rPh sb="7" eb="8">
      <t>ガツ</t>
    </rPh>
    <phoneticPr fontId="1"/>
  </si>
  <si>
    <t>31年目：11月</t>
    <rPh sb="2" eb="3">
      <t>ネン</t>
    </rPh>
    <rPh sb="7" eb="8">
      <t>ガツ</t>
    </rPh>
    <phoneticPr fontId="1"/>
  </si>
  <si>
    <t>31年目：12月</t>
    <rPh sb="2" eb="3">
      <t>ネン</t>
    </rPh>
    <rPh sb="7" eb="8">
      <t>ガツ</t>
    </rPh>
    <phoneticPr fontId="1"/>
  </si>
  <si>
    <t>32年目：1月</t>
    <rPh sb="2" eb="3">
      <t>ネン</t>
    </rPh>
    <rPh sb="6" eb="7">
      <t>ガツ</t>
    </rPh>
    <phoneticPr fontId="1"/>
  </si>
  <si>
    <t>32年目：2月</t>
    <rPh sb="2" eb="3">
      <t>ネン</t>
    </rPh>
    <rPh sb="6" eb="7">
      <t>ガツ</t>
    </rPh>
    <phoneticPr fontId="1"/>
  </si>
  <si>
    <t>32年目：3月</t>
    <rPh sb="2" eb="3">
      <t>ネン</t>
    </rPh>
    <rPh sb="6" eb="7">
      <t>ガツ</t>
    </rPh>
    <phoneticPr fontId="1"/>
  </si>
  <si>
    <t>32年目：4月</t>
    <rPh sb="2" eb="3">
      <t>ネン</t>
    </rPh>
    <rPh sb="6" eb="7">
      <t>ガツ</t>
    </rPh>
    <phoneticPr fontId="1"/>
  </si>
  <si>
    <t>32年目：5月</t>
    <rPh sb="2" eb="3">
      <t>ネン</t>
    </rPh>
    <rPh sb="6" eb="7">
      <t>ガツ</t>
    </rPh>
    <phoneticPr fontId="1"/>
  </si>
  <si>
    <t>32年目：6月</t>
    <rPh sb="2" eb="3">
      <t>ネン</t>
    </rPh>
    <rPh sb="6" eb="7">
      <t>ガツ</t>
    </rPh>
    <phoneticPr fontId="1"/>
  </si>
  <si>
    <t>32年目：7月</t>
    <rPh sb="2" eb="3">
      <t>ネン</t>
    </rPh>
    <rPh sb="6" eb="7">
      <t>ガツ</t>
    </rPh>
    <phoneticPr fontId="1"/>
  </si>
  <si>
    <t>32年目：8月</t>
    <rPh sb="2" eb="3">
      <t>ネン</t>
    </rPh>
    <rPh sb="6" eb="7">
      <t>ガツ</t>
    </rPh>
    <phoneticPr fontId="1"/>
  </si>
  <si>
    <t>32年目：9月</t>
    <rPh sb="2" eb="3">
      <t>ネン</t>
    </rPh>
    <rPh sb="6" eb="7">
      <t>ガツ</t>
    </rPh>
    <phoneticPr fontId="1"/>
  </si>
  <si>
    <t>32年目：10月</t>
    <rPh sb="2" eb="3">
      <t>ネン</t>
    </rPh>
    <rPh sb="7" eb="8">
      <t>ガツ</t>
    </rPh>
    <phoneticPr fontId="1"/>
  </si>
  <si>
    <t>32年目：11月</t>
    <rPh sb="2" eb="3">
      <t>ネン</t>
    </rPh>
    <rPh sb="7" eb="8">
      <t>ガツ</t>
    </rPh>
    <phoneticPr fontId="1"/>
  </si>
  <si>
    <t>32年目：12月</t>
    <rPh sb="2" eb="3">
      <t>ネン</t>
    </rPh>
    <rPh sb="7" eb="8">
      <t>ガツ</t>
    </rPh>
    <phoneticPr fontId="1"/>
  </si>
  <si>
    <t>33年目：1月</t>
    <rPh sb="2" eb="3">
      <t>ネン</t>
    </rPh>
    <rPh sb="6" eb="7">
      <t>ガツ</t>
    </rPh>
    <phoneticPr fontId="1"/>
  </si>
  <si>
    <t>33年目：2月</t>
    <rPh sb="2" eb="3">
      <t>ネン</t>
    </rPh>
    <rPh sb="6" eb="7">
      <t>ガツ</t>
    </rPh>
    <phoneticPr fontId="1"/>
  </si>
  <si>
    <t>33年目：3月</t>
    <rPh sb="2" eb="3">
      <t>ネン</t>
    </rPh>
    <rPh sb="6" eb="7">
      <t>ガツ</t>
    </rPh>
    <phoneticPr fontId="1"/>
  </si>
  <si>
    <t>33年目：4月</t>
    <rPh sb="2" eb="3">
      <t>ネン</t>
    </rPh>
    <rPh sb="6" eb="7">
      <t>ガツ</t>
    </rPh>
    <phoneticPr fontId="1"/>
  </si>
  <si>
    <t>33年目：5月</t>
    <rPh sb="2" eb="3">
      <t>ネン</t>
    </rPh>
    <rPh sb="6" eb="7">
      <t>ガツ</t>
    </rPh>
    <phoneticPr fontId="1"/>
  </si>
  <si>
    <t>33年目：6月</t>
    <rPh sb="2" eb="3">
      <t>ネン</t>
    </rPh>
    <rPh sb="6" eb="7">
      <t>ガツ</t>
    </rPh>
    <phoneticPr fontId="1"/>
  </si>
  <si>
    <t>33年目：7月</t>
    <rPh sb="2" eb="3">
      <t>ネン</t>
    </rPh>
    <rPh sb="6" eb="7">
      <t>ガツ</t>
    </rPh>
    <phoneticPr fontId="1"/>
  </si>
  <si>
    <t>33年目：8月</t>
    <rPh sb="2" eb="3">
      <t>ネン</t>
    </rPh>
    <rPh sb="6" eb="7">
      <t>ガツ</t>
    </rPh>
    <phoneticPr fontId="1"/>
  </si>
  <si>
    <t>33年目：9月</t>
    <rPh sb="2" eb="3">
      <t>ネン</t>
    </rPh>
    <rPh sb="6" eb="7">
      <t>ガツ</t>
    </rPh>
    <phoneticPr fontId="1"/>
  </si>
  <si>
    <t>33年目：10月</t>
    <rPh sb="2" eb="3">
      <t>ネン</t>
    </rPh>
    <rPh sb="7" eb="8">
      <t>ガツ</t>
    </rPh>
    <phoneticPr fontId="1"/>
  </si>
  <si>
    <t>33年目：11月</t>
    <rPh sb="2" eb="3">
      <t>ネン</t>
    </rPh>
    <rPh sb="7" eb="8">
      <t>ガツ</t>
    </rPh>
    <phoneticPr fontId="1"/>
  </si>
  <si>
    <t>33年目：12月</t>
    <rPh sb="2" eb="3">
      <t>ネン</t>
    </rPh>
    <rPh sb="7" eb="8">
      <t>ガツ</t>
    </rPh>
    <phoneticPr fontId="1"/>
  </si>
  <si>
    <t>34年目：1月</t>
    <rPh sb="2" eb="3">
      <t>ネン</t>
    </rPh>
    <rPh sb="6" eb="7">
      <t>ガツ</t>
    </rPh>
    <phoneticPr fontId="1"/>
  </si>
  <si>
    <t>34年目：2月</t>
    <rPh sb="2" eb="3">
      <t>ネン</t>
    </rPh>
    <rPh sb="6" eb="7">
      <t>ガツ</t>
    </rPh>
    <phoneticPr fontId="1"/>
  </si>
  <si>
    <t>34年目：3月</t>
    <rPh sb="2" eb="3">
      <t>ネン</t>
    </rPh>
    <rPh sb="6" eb="7">
      <t>ガツ</t>
    </rPh>
    <phoneticPr fontId="1"/>
  </si>
  <si>
    <t>34年目：4月</t>
    <rPh sb="2" eb="3">
      <t>ネン</t>
    </rPh>
    <rPh sb="6" eb="7">
      <t>ガツ</t>
    </rPh>
    <phoneticPr fontId="1"/>
  </si>
  <si>
    <t>34年目：5月</t>
    <rPh sb="2" eb="3">
      <t>ネン</t>
    </rPh>
    <rPh sb="6" eb="7">
      <t>ガツ</t>
    </rPh>
    <phoneticPr fontId="1"/>
  </si>
  <si>
    <t>34年目：6月</t>
    <rPh sb="2" eb="3">
      <t>ネン</t>
    </rPh>
    <rPh sb="6" eb="7">
      <t>ガツ</t>
    </rPh>
    <phoneticPr fontId="1"/>
  </si>
  <si>
    <t>34年目：7月</t>
    <rPh sb="2" eb="3">
      <t>ネン</t>
    </rPh>
    <rPh sb="6" eb="7">
      <t>ガツ</t>
    </rPh>
    <phoneticPr fontId="1"/>
  </si>
  <si>
    <t>34年目：8月</t>
    <rPh sb="2" eb="3">
      <t>ネン</t>
    </rPh>
    <rPh sb="6" eb="7">
      <t>ガツ</t>
    </rPh>
    <phoneticPr fontId="1"/>
  </si>
  <si>
    <t>34年目：9月</t>
    <rPh sb="2" eb="3">
      <t>ネン</t>
    </rPh>
    <rPh sb="6" eb="7">
      <t>ガツ</t>
    </rPh>
    <phoneticPr fontId="1"/>
  </si>
  <si>
    <t>34年目：10月</t>
    <rPh sb="2" eb="3">
      <t>ネン</t>
    </rPh>
    <rPh sb="7" eb="8">
      <t>ガツ</t>
    </rPh>
    <phoneticPr fontId="1"/>
  </si>
  <si>
    <t>34年目：11月</t>
    <rPh sb="2" eb="3">
      <t>ネン</t>
    </rPh>
    <rPh sb="7" eb="8">
      <t>ガツ</t>
    </rPh>
    <phoneticPr fontId="1"/>
  </si>
  <si>
    <t>34年目：12月</t>
    <rPh sb="2" eb="3">
      <t>ネン</t>
    </rPh>
    <rPh sb="7" eb="8">
      <t>ガツ</t>
    </rPh>
    <phoneticPr fontId="1"/>
  </si>
  <si>
    <t>35年目：1月</t>
    <rPh sb="2" eb="3">
      <t>ネン</t>
    </rPh>
    <rPh sb="6" eb="7">
      <t>ガツ</t>
    </rPh>
    <phoneticPr fontId="1"/>
  </si>
  <si>
    <t>35年目：2月</t>
    <rPh sb="2" eb="3">
      <t>ネン</t>
    </rPh>
    <rPh sb="6" eb="7">
      <t>ガツ</t>
    </rPh>
    <phoneticPr fontId="1"/>
  </si>
  <si>
    <t>35年目：3月</t>
    <rPh sb="2" eb="3">
      <t>ネン</t>
    </rPh>
    <rPh sb="6" eb="7">
      <t>ガツ</t>
    </rPh>
    <phoneticPr fontId="1"/>
  </si>
  <si>
    <t>35年目：4月</t>
    <rPh sb="2" eb="3">
      <t>ネン</t>
    </rPh>
    <rPh sb="6" eb="7">
      <t>ガツ</t>
    </rPh>
    <phoneticPr fontId="1"/>
  </si>
  <si>
    <t>35年目：5月</t>
    <rPh sb="2" eb="3">
      <t>ネン</t>
    </rPh>
    <rPh sb="6" eb="7">
      <t>ガツ</t>
    </rPh>
    <phoneticPr fontId="1"/>
  </si>
  <si>
    <t>35年目：6月</t>
    <rPh sb="2" eb="3">
      <t>ネン</t>
    </rPh>
    <rPh sb="6" eb="7">
      <t>ガツ</t>
    </rPh>
    <phoneticPr fontId="1"/>
  </si>
  <si>
    <t>35年目：7月</t>
    <rPh sb="2" eb="3">
      <t>ネン</t>
    </rPh>
    <rPh sb="6" eb="7">
      <t>ガツ</t>
    </rPh>
    <phoneticPr fontId="1"/>
  </si>
  <si>
    <t>35年目：8月</t>
    <rPh sb="2" eb="3">
      <t>ネン</t>
    </rPh>
    <rPh sb="6" eb="7">
      <t>ガツ</t>
    </rPh>
    <phoneticPr fontId="1"/>
  </si>
  <si>
    <t>35年目：9月</t>
    <rPh sb="2" eb="3">
      <t>ネン</t>
    </rPh>
    <rPh sb="6" eb="7">
      <t>ガツ</t>
    </rPh>
    <phoneticPr fontId="1"/>
  </si>
  <si>
    <t>35年目：10月</t>
    <rPh sb="2" eb="3">
      <t>ネン</t>
    </rPh>
    <rPh sb="7" eb="8">
      <t>ガツ</t>
    </rPh>
    <phoneticPr fontId="1"/>
  </si>
  <si>
    <t>35年目：11月</t>
    <rPh sb="2" eb="3">
      <t>ネン</t>
    </rPh>
    <rPh sb="7" eb="8">
      <t>ガツ</t>
    </rPh>
    <phoneticPr fontId="1"/>
  </si>
  <si>
    <t>35年目：12月</t>
    <rPh sb="2" eb="3">
      <t>ネン</t>
    </rPh>
    <rPh sb="7" eb="8">
      <t>ガツ</t>
    </rPh>
    <phoneticPr fontId="1"/>
  </si>
  <si>
    <t>借入金額</t>
    <rPh sb="0" eb="4">
      <t>カリイレキンガク</t>
    </rPh>
    <phoneticPr fontId="1"/>
  </si>
  <si>
    <t>万円</t>
    <rPh sb="0" eb="2">
      <t>マンエン</t>
    </rPh>
    <phoneticPr fontId="1"/>
  </si>
  <si>
    <t>金利</t>
    <rPh sb="0" eb="2">
      <t>キンリ</t>
    </rPh>
    <phoneticPr fontId="1"/>
  </si>
  <si>
    <t>返済期間</t>
    <rPh sb="0" eb="4">
      <t>ヘンサイキカン</t>
    </rPh>
    <phoneticPr fontId="1"/>
  </si>
  <si>
    <t>年</t>
    <rPh sb="0" eb="1">
      <t>ネン</t>
    </rPh>
    <phoneticPr fontId="1"/>
  </si>
  <si>
    <t>％</t>
    <phoneticPr fontId="1"/>
  </si>
  <si>
    <t>14年目</t>
    <rPh sb="2" eb="4">
      <t>ネンメ</t>
    </rPh>
    <phoneticPr fontId="1"/>
  </si>
  <si>
    <t>15年目</t>
    <rPh sb="2" eb="4">
      <t>ネンメ</t>
    </rPh>
    <phoneticPr fontId="1"/>
  </si>
  <si>
    <t>16年目</t>
    <rPh sb="2" eb="4">
      <t>ネンメ</t>
    </rPh>
    <phoneticPr fontId="1"/>
  </si>
  <si>
    <t>17年目</t>
    <rPh sb="2" eb="4">
      <t>ネンメ</t>
    </rPh>
    <phoneticPr fontId="1"/>
  </si>
  <si>
    <t>18年目</t>
    <rPh sb="2" eb="4">
      <t>ネンメ</t>
    </rPh>
    <phoneticPr fontId="1"/>
  </si>
  <si>
    <t>19年目</t>
    <rPh sb="2" eb="4">
      <t>ネンメ</t>
    </rPh>
    <phoneticPr fontId="1"/>
  </si>
  <si>
    <t>20年目</t>
    <rPh sb="2" eb="4">
      <t>ネンメ</t>
    </rPh>
    <phoneticPr fontId="1"/>
  </si>
  <si>
    <t>21年目</t>
    <rPh sb="2" eb="4">
      <t>ネンメ</t>
    </rPh>
    <phoneticPr fontId="1"/>
  </si>
  <si>
    <t>22年目</t>
    <rPh sb="2" eb="4">
      <t>ネンメ</t>
    </rPh>
    <phoneticPr fontId="1"/>
  </si>
  <si>
    <t>23年目</t>
    <rPh sb="2" eb="4">
      <t>ネンメ</t>
    </rPh>
    <phoneticPr fontId="1"/>
  </si>
  <si>
    <t>24年目</t>
    <rPh sb="2" eb="4">
      <t>ネンメ</t>
    </rPh>
    <phoneticPr fontId="1"/>
  </si>
  <si>
    <t>25年目</t>
    <rPh sb="2" eb="4">
      <t>ネンメ</t>
    </rPh>
    <phoneticPr fontId="1"/>
  </si>
  <si>
    <t>26年目</t>
    <rPh sb="2" eb="4">
      <t>ネンメ</t>
    </rPh>
    <phoneticPr fontId="1"/>
  </si>
  <si>
    <t>27年目</t>
    <rPh sb="2" eb="4">
      <t>ネンメ</t>
    </rPh>
    <phoneticPr fontId="1"/>
  </si>
  <si>
    <t>28年目</t>
    <rPh sb="2" eb="4">
      <t>ネンメ</t>
    </rPh>
    <phoneticPr fontId="1"/>
  </si>
  <si>
    <t>29年目</t>
    <rPh sb="2" eb="4">
      <t>ネンメ</t>
    </rPh>
    <phoneticPr fontId="1"/>
  </si>
  <si>
    <t>30年目</t>
    <rPh sb="2" eb="4">
      <t>ネンメ</t>
    </rPh>
    <phoneticPr fontId="1"/>
  </si>
  <si>
    <t>31年目</t>
    <rPh sb="2" eb="4">
      <t>ネンメ</t>
    </rPh>
    <phoneticPr fontId="1"/>
  </si>
  <si>
    <t>32年目</t>
    <rPh sb="2" eb="4">
      <t>ネンメ</t>
    </rPh>
    <phoneticPr fontId="1"/>
  </si>
  <si>
    <t>33年目</t>
    <rPh sb="2" eb="4">
      <t>ネンメ</t>
    </rPh>
    <phoneticPr fontId="1"/>
  </si>
  <si>
    <t>34年目</t>
    <rPh sb="2" eb="4">
      <t>ネンメ</t>
    </rPh>
    <phoneticPr fontId="1"/>
  </si>
  <si>
    <t>35年目</t>
    <rPh sb="2" eb="4">
      <t>ネンメ</t>
    </rPh>
    <phoneticPr fontId="1"/>
  </si>
  <si>
    <r>
      <t>毎年</t>
    </r>
    <r>
      <rPr>
        <b/>
        <sz val="11"/>
        <color theme="1"/>
        <rFont val="游ゴシック"/>
        <family val="3"/>
        <charset val="128"/>
        <scheme val="minor"/>
      </rPr>
      <t>12月</t>
    </r>
    <r>
      <rPr>
        <sz val="11"/>
        <color theme="1"/>
        <rFont val="游ゴシック"/>
        <family val="2"/>
        <charset val="128"/>
        <scheme val="minor"/>
      </rPr>
      <t>の借入残高</t>
    </r>
    <rPh sb="0" eb="2">
      <t>マイトシ</t>
    </rPh>
    <rPh sb="1" eb="2">
      <t>ネン</t>
    </rPh>
    <rPh sb="4" eb="5">
      <t>ガツ</t>
    </rPh>
    <rPh sb="6" eb="8">
      <t>カリイレ</t>
    </rPh>
    <rPh sb="8" eb="10">
      <t>ザンダカ</t>
    </rPh>
    <phoneticPr fontId="1"/>
  </si>
  <si>
    <t>36年目</t>
    <rPh sb="2" eb="4">
      <t>ネンメ</t>
    </rPh>
    <phoneticPr fontId="1"/>
  </si>
  <si>
    <t>37年目</t>
    <rPh sb="2" eb="4">
      <t>ネンメ</t>
    </rPh>
    <phoneticPr fontId="1"/>
  </si>
  <si>
    <t>38年目</t>
    <rPh sb="2" eb="4">
      <t>ネンメ</t>
    </rPh>
    <phoneticPr fontId="1"/>
  </si>
  <si>
    <t>39年目</t>
    <rPh sb="2" eb="4">
      <t>ネンメ</t>
    </rPh>
    <phoneticPr fontId="1"/>
  </si>
  <si>
    <t>40年目</t>
    <rPh sb="2" eb="4">
      <t>ネンメ</t>
    </rPh>
    <phoneticPr fontId="1"/>
  </si>
  <si>
    <t>41年目</t>
    <rPh sb="2" eb="4">
      <t>ネンメ</t>
    </rPh>
    <phoneticPr fontId="1"/>
  </si>
  <si>
    <t>42年目</t>
    <rPh sb="2" eb="4">
      <t>ネンメ</t>
    </rPh>
    <phoneticPr fontId="1"/>
  </si>
  <si>
    <t>43年目</t>
    <rPh sb="2" eb="4">
      <t>ネンメ</t>
    </rPh>
    <phoneticPr fontId="1"/>
  </si>
  <si>
    <t>44年目</t>
    <rPh sb="2" eb="4">
      <t>ネンメ</t>
    </rPh>
    <phoneticPr fontId="1"/>
  </si>
  <si>
    <t>45年目</t>
    <rPh sb="2" eb="4">
      <t>ネンメ</t>
    </rPh>
    <phoneticPr fontId="1"/>
  </si>
  <si>
    <t>46年目</t>
    <rPh sb="2" eb="4">
      <t>ネンメ</t>
    </rPh>
    <phoneticPr fontId="1"/>
  </si>
  <si>
    <t>47年目</t>
    <rPh sb="2" eb="4">
      <t>ネンメ</t>
    </rPh>
    <phoneticPr fontId="1"/>
  </si>
  <si>
    <t>48年目</t>
    <rPh sb="2" eb="4">
      <t>ネンメ</t>
    </rPh>
    <phoneticPr fontId="1"/>
  </si>
  <si>
    <t>49年目</t>
    <rPh sb="2" eb="4">
      <t>ネンメ</t>
    </rPh>
    <phoneticPr fontId="1"/>
  </si>
  <si>
    <t>50年目</t>
    <rPh sb="2" eb="4">
      <t>ネンメ</t>
    </rPh>
    <phoneticPr fontId="1"/>
  </si>
  <si>
    <t>売却年数</t>
    <rPh sb="0" eb="2">
      <t>バイキャク</t>
    </rPh>
    <rPh sb="2" eb="4">
      <t>ネンスウ</t>
    </rPh>
    <phoneticPr fontId="1"/>
  </si>
  <si>
    <t>年後</t>
    <rPh sb="0" eb="2">
      <t>ネンゴ</t>
    </rPh>
    <phoneticPr fontId="1"/>
  </si>
  <si>
    <t>１年後</t>
    <rPh sb="1" eb="3">
      <t>ネンゴ</t>
    </rPh>
    <phoneticPr fontId="1"/>
  </si>
  <si>
    <t>２年後</t>
    <rPh sb="1" eb="3">
      <t>ネンゴ</t>
    </rPh>
    <phoneticPr fontId="1"/>
  </si>
  <si>
    <t>３年後</t>
    <rPh sb="1" eb="3">
      <t>ネンゴ</t>
    </rPh>
    <phoneticPr fontId="1"/>
  </si>
  <si>
    <t>４年後</t>
    <rPh sb="1" eb="3">
      <t>ネンゴ</t>
    </rPh>
    <phoneticPr fontId="1"/>
  </si>
  <si>
    <t>５年後</t>
    <rPh sb="1" eb="3">
      <t>ネンゴ</t>
    </rPh>
    <phoneticPr fontId="1"/>
  </si>
  <si>
    <t>６年後</t>
    <rPh sb="1" eb="3">
      <t>ネンゴ</t>
    </rPh>
    <phoneticPr fontId="1"/>
  </si>
  <si>
    <t>７年後</t>
    <rPh sb="1" eb="3">
      <t>ネンゴ</t>
    </rPh>
    <phoneticPr fontId="1"/>
  </si>
  <si>
    <t>８年後</t>
    <rPh sb="1" eb="3">
      <t>ネンゴ</t>
    </rPh>
    <phoneticPr fontId="1"/>
  </si>
  <si>
    <t>９年後</t>
    <rPh sb="1" eb="3">
      <t>ネンゴ</t>
    </rPh>
    <phoneticPr fontId="1"/>
  </si>
  <si>
    <t>１０年後</t>
    <rPh sb="2" eb="4">
      <t>ネンゴ</t>
    </rPh>
    <phoneticPr fontId="1"/>
  </si>
  <si>
    <t>１１年後</t>
    <rPh sb="2" eb="4">
      <t>ネンゴ</t>
    </rPh>
    <phoneticPr fontId="1"/>
  </si>
  <si>
    <t>１２年後</t>
    <rPh sb="2" eb="4">
      <t>ネンゴ</t>
    </rPh>
    <phoneticPr fontId="1"/>
  </si>
  <si>
    <t>１３年後</t>
    <rPh sb="2" eb="4">
      <t>ネンゴ</t>
    </rPh>
    <phoneticPr fontId="1"/>
  </si>
  <si>
    <t>１４年後</t>
    <rPh sb="2" eb="4">
      <t>ネンゴ</t>
    </rPh>
    <phoneticPr fontId="1"/>
  </si>
  <si>
    <t>１５年後</t>
    <rPh sb="2" eb="4">
      <t>ネンゴ</t>
    </rPh>
    <phoneticPr fontId="1"/>
  </si>
  <si>
    <t>１６年後</t>
    <rPh sb="2" eb="4">
      <t>ネンゴ</t>
    </rPh>
    <phoneticPr fontId="1"/>
  </si>
  <si>
    <t>１７年後</t>
    <rPh sb="2" eb="4">
      <t>ネンゴ</t>
    </rPh>
    <phoneticPr fontId="1"/>
  </si>
  <si>
    <t>１８年後</t>
    <rPh sb="2" eb="4">
      <t>ネンゴ</t>
    </rPh>
    <phoneticPr fontId="1"/>
  </si>
  <si>
    <t>１９年後</t>
    <rPh sb="2" eb="4">
      <t>ネンゴ</t>
    </rPh>
    <phoneticPr fontId="1"/>
  </si>
  <si>
    <t>２０年後</t>
    <rPh sb="2" eb="4">
      <t>ネンゴ</t>
    </rPh>
    <phoneticPr fontId="1"/>
  </si>
  <si>
    <t>２１年後</t>
    <rPh sb="2" eb="4">
      <t>ネンゴ</t>
    </rPh>
    <phoneticPr fontId="1"/>
  </si>
  <si>
    <t>２２年後</t>
    <rPh sb="2" eb="4">
      <t>ネンゴ</t>
    </rPh>
    <phoneticPr fontId="1"/>
  </si>
  <si>
    <t>２３年後</t>
    <rPh sb="2" eb="4">
      <t>ネンゴ</t>
    </rPh>
    <phoneticPr fontId="1"/>
  </si>
  <si>
    <t>２４年後</t>
    <rPh sb="2" eb="4">
      <t>ネンゴ</t>
    </rPh>
    <phoneticPr fontId="1"/>
  </si>
  <si>
    <t>２５年後</t>
    <rPh sb="2" eb="4">
      <t>ネンゴ</t>
    </rPh>
    <phoneticPr fontId="1"/>
  </si>
  <si>
    <t>２６年後</t>
    <rPh sb="2" eb="4">
      <t>ネンゴ</t>
    </rPh>
    <phoneticPr fontId="1"/>
  </si>
  <si>
    <t>２７年後</t>
    <rPh sb="2" eb="4">
      <t>ネンゴ</t>
    </rPh>
    <phoneticPr fontId="1"/>
  </si>
  <si>
    <t>２８年後</t>
    <rPh sb="2" eb="4">
      <t>ネンゴ</t>
    </rPh>
    <phoneticPr fontId="1"/>
  </si>
  <si>
    <t>２９年後</t>
    <rPh sb="2" eb="4">
      <t>ネンゴ</t>
    </rPh>
    <phoneticPr fontId="1"/>
  </si>
  <si>
    <t>３０年後</t>
    <rPh sb="2" eb="4">
      <t>ネンゴ</t>
    </rPh>
    <phoneticPr fontId="1"/>
  </si>
  <si>
    <t>３１年後</t>
    <rPh sb="2" eb="4">
      <t>ネンゴ</t>
    </rPh>
    <phoneticPr fontId="1"/>
  </si>
  <si>
    <t>３２年後</t>
    <rPh sb="2" eb="4">
      <t>ネンゴ</t>
    </rPh>
    <phoneticPr fontId="1"/>
  </si>
  <si>
    <t>３３年後</t>
    <rPh sb="2" eb="4">
      <t>ネンゴ</t>
    </rPh>
    <phoneticPr fontId="1"/>
  </si>
  <si>
    <t>３４年後</t>
    <rPh sb="2" eb="4">
      <t>ネンゴ</t>
    </rPh>
    <phoneticPr fontId="1"/>
  </si>
  <si>
    <t>３５年後</t>
    <rPh sb="2" eb="4">
      <t>ネンゴ</t>
    </rPh>
    <phoneticPr fontId="1"/>
  </si>
  <si>
    <t>３６年後</t>
    <rPh sb="2" eb="4">
      <t>ネンゴ</t>
    </rPh>
    <phoneticPr fontId="1"/>
  </si>
  <si>
    <t>３７年後</t>
    <rPh sb="2" eb="4">
      <t>ネンゴ</t>
    </rPh>
    <phoneticPr fontId="1"/>
  </si>
  <si>
    <t>３８年後</t>
    <rPh sb="2" eb="4">
      <t>ネンゴ</t>
    </rPh>
    <phoneticPr fontId="1"/>
  </si>
  <si>
    <t>３９年後</t>
    <rPh sb="2" eb="4">
      <t>ネンゴ</t>
    </rPh>
    <phoneticPr fontId="1"/>
  </si>
  <si>
    <t>４０年後</t>
    <rPh sb="2" eb="4">
      <t>ネンゴ</t>
    </rPh>
    <phoneticPr fontId="1"/>
  </si>
  <si>
    <t>４１年後</t>
    <rPh sb="2" eb="4">
      <t>ネンゴ</t>
    </rPh>
    <phoneticPr fontId="1"/>
  </si>
  <si>
    <t>４２年後</t>
    <rPh sb="2" eb="4">
      <t>ネンゴ</t>
    </rPh>
    <phoneticPr fontId="1"/>
  </si>
  <si>
    <t>４３年後</t>
    <rPh sb="2" eb="4">
      <t>ネンゴ</t>
    </rPh>
    <phoneticPr fontId="1"/>
  </si>
  <si>
    <t>４４年後</t>
    <rPh sb="2" eb="4">
      <t>ネンゴ</t>
    </rPh>
    <phoneticPr fontId="1"/>
  </si>
  <si>
    <t>４５年後</t>
    <rPh sb="2" eb="4">
      <t>ネンゴ</t>
    </rPh>
    <phoneticPr fontId="1"/>
  </si>
  <si>
    <t>４６年後</t>
    <rPh sb="2" eb="4">
      <t>ネンゴ</t>
    </rPh>
    <phoneticPr fontId="1"/>
  </si>
  <si>
    <t>４７年後</t>
    <rPh sb="2" eb="4">
      <t>ネンゴ</t>
    </rPh>
    <phoneticPr fontId="1"/>
  </si>
  <si>
    <t>４８年後</t>
    <rPh sb="2" eb="4">
      <t>ネンゴ</t>
    </rPh>
    <phoneticPr fontId="1"/>
  </si>
  <si>
    <t>４９年後</t>
    <rPh sb="2" eb="4">
      <t>ネンゴ</t>
    </rPh>
    <phoneticPr fontId="1"/>
  </si>
  <si>
    <t>５０年後</t>
    <rPh sb="2" eb="4">
      <t>ネンゴ</t>
    </rPh>
    <phoneticPr fontId="1"/>
  </si>
  <si>
    <t>固定資産税(年間）</t>
    <rPh sb="0" eb="5">
      <t>コテイシサンゼイ</t>
    </rPh>
    <rPh sb="6" eb="8">
      <t>ネンカン</t>
    </rPh>
    <phoneticPr fontId="1"/>
  </si>
  <si>
    <t>売却諸費用</t>
    <rPh sb="0" eb="2">
      <t>バイキャク</t>
    </rPh>
    <rPh sb="2" eb="3">
      <t>ショ</t>
    </rPh>
    <rPh sb="3" eb="5">
      <t>ヒヨウ</t>
    </rPh>
    <phoneticPr fontId="1"/>
  </si>
  <si>
    <t>返済総額（年間）</t>
    <rPh sb="0" eb="2">
      <t>ヘンサイ</t>
    </rPh>
    <rPh sb="2" eb="4">
      <t>ソウガク</t>
    </rPh>
    <rPh sb="5" eb="7">
      <t>ネンカン</t>
    </rPh>
    <phoneticPr fontId="1"/>
  </si>
  <si>
    <r>
      <t>購入手数料</t>
    </r>
    <r>
      <rPr>
        <sz val="11"/>
        <color rgb="FFFF0000"/>
        <rFont val="游ゴシック"/>
        <family val="3"/>
        <charset val="128"/>
        <scheme val="minor"/>
      </rPr>
      <t>※3</t>
    </r>
    <rPh sb="0" eb="5">
      <t>コウニュウテスウリョウ</t>
    </rPh>
    <phoneticPr fontId="1"/>
  </si>
  <si>
    <r>
      <t>売却諸費用</t>
    </r>
    <r>
      <rPr>
        <sz val="11"/>
        <color rgb="FFFF0000"/>
        <rFont val="游ゴシック"/>
        <family val="3"/>
        <charset val="128"/>
        <scheme val="minor"/>
      </rPr>
      <t>※5</t>
    </r>
    <rPh sb="0" eb="2">
      <t>バイキャク</t>
    </rPh>
    <rPh sb="2" eb="3">
      <t>ショ</t>
    </rPh>
    <rPh sb="3" eb="5">
      <t>ヒヨウ</t>
    </rPh>
    <phoneticPr fontId="1"/>
  </si>
  <si>
    <t>※3：未入力の場合は借入金額×6％</t>
    <rPh sb="3" eb="6">
      <t>ミニュウリョク</t>
    </rPh>
    <rPh sb="7" eb="9">
      <t>バアイ</t>
    </rPh>
    <rPh sb="10" eb="14">
      <t>カリイレキンガク</t>
    </rPh>
    <phoneticPr fontId="1"/>
  </si>
  <si>
    <t>※4：未入力の場合は年間15万円</t>
    <rPh sb="3" eb="6">
      <t>ミニュウリョク</t>
    </rPh>
    <rPh sb="7" eb="9">
      <t>バアイ</t>
    </rPh>
    <rPh sb="10" eb="12">
      <t>ネンカン</t>
    </rPh>
    <rPh sb="14" eb="16">
      <t>マンエン</t>
    </rPh>
    <phoneticPr fontId="1"/>
  </si>
  <si>
    <t>※5：未入力の場合は売却額×5％</t>
    <rPh sb="3" eb="6">
      <t>ミニュウリョク</t>
    </rPh>
    <rPh sb="7" eb="9">
      <t>バアイ</t>
    </rPh>
    <rPh sb="10" eb="13">
      <t>バイキャクガク</t>
    </rPh>
    <phoneticPr fontId="1"/>
  </si>
  <si>
    <r>
      <t>固定資産税(年間)</t>
    </r>
    <r>
      <rPr>
        <sz val="11"/>
        <color rgb="FFFF0000"/>
        <rFont val="游ゴシック"/>
        <family val="3"/>
        <charset val="128"/>
        <scheme val="minor"/>
      </rPr>
      <t>※4</t>
    </r>
    <rPh sb="0" eb="5">
      <t>コテイシサンゼイ</t>
    </rPh>
    <rPh sb="6" eb="8">
      <t>ネンカン</t>
    </rPh>
    <phoneticPr fontId="1"/>
  </si>
  <si>
    <r>
      <rPr>
        <sz val="11"/>
        <rFont val="游ゴシック"/>
        <family val="3"/>
        <charset val="128"/>
        <scheme val="minor"/>
      </rPr>
      <t>修繕費(年間)</t>
    </r>
    <r>
      <rPr>
        <sz val="11"/>
        <color rgb="FFFF0000"/>
        <rFont val="游ゴシック"/>
        <family val="2"/>
        <charset val="128"/>
        <scheme val="minor"/>
      </rPr>
      <t>※2</t>
    </r>
    <rPh sb="0" eb="3">
      <t>シュウゼンヒ</t>
    </rPh>
    <rPh sb="4" eb="6">
      <t>ネンカン</t>
    </rPh>
    <phoneticPr fontId="1"/>
  </si>
  <si>
    <t>※1：ウチノカチで検索</t>
  </si>
  <si>
    <t>※2：未入力の場合は10年目まで0万円。それ以降月1万円。</t>
    <rPh sb="3" eb="6">
      <t>ミニュウリョク</t>
    </rPh>
    <rPh sb="7" eb="9">
      <t>バアイ</t>
    </rPh>
    <rPh sb="12" eb="14">
      <t>ネンメ</t>
    </rPh>
    <rPh sb="17" eb="19">
      <t>マンエン</t>
    </rPh>
    <rPh sb="22" eb="24">
      <t>イコウ</t>
    </rPh>
    <rPh sb="24" eb="25">
      <t>ツキ</t>
    </rPh>
    <rPh sb="26" eb="28">
      <t>マンエン</t>
    </rPh>
    <phoneticPr fontId="1"/>
  </si>
  <si>
    <t>修繕費計算</t>
    <rPh sb="0" eb="3">
      <t>シュウゼンヒ</t>
    </rPh>
    <rPh sb="3" eb="5">
      <t>ケイサン</t>
    </rPh>
    <phoneticPr fontId="1"/>
  </si>
  <si>
    <t>修繕費(年間)</t>
    <rPh sb="0" eb="3">
      <t>シュウゼンヒ</t>
    </rPh>
    <rPh sb="4" eb="6">
      <t>ネンカン</t>
    </rPh>
    <phoneticPr fontId="1"/>
  </si>
  <si>
    <t>元利均等</t>
    <rPh sb="0" eb="4">
      <t>ガンリキントウ</t>
    </rPh>
    <phoneticPr fontId="1"/>
  </si>
  <si>
    <t>元金均等</t>
    <rPh sb="0" eb="4">
      <t>ガンキンキントウ</t>
    </rPh>
    <phoneticPr fontId="1"/>
  </si>
  <si>
    <t>持ち家</t>
    <rPh sb="0" eb="1">
      <t>モ</t>
    </rPh>
    <rPh sb="2" eb="3">
      <t>イエ</t>
    </rPh>
    <phoneticPr fontId="1"/>
  </si>
  <si>
    <t>賃貸</t>
    <rPh sb="0" eb="2">
      <t>チンタイ</t>
    </rPh>
    <phoneticPr fontId="1"/>
  </si>
  <si>
    <t>項目名</t>
    <rPh sb="0" eb="2">
      <t>コウモク</t>
    </rPh>
    <rPh sb="2" eb="3">
      <t>メイ</t>
    </rPh>
    <phoneticPr fontId="1"/>
  </si>
  <si>
    <t>初期費用合計</t>
    <rPh sb="0" eb="4">
      <t>ショキヒヨウ</t>
    </rPh>
    <rPh sb="4" eb="6">
      <t>ゴウケイ</t>
    </rPh>
    <phoneticPr fontId="1"/>
  </si>
  <si>
    <t>ローン返済</t>
    <rPh sb="3" eb="5">
      <t>ヘンサイ</t>
    </rPh>
    <phoneticPr fontId="1"/>
  </si>
  <si>
    <t>固定資産税</t>
    <rPh sb="0" eb="2">
      <t>コテイ</t>
    </rPh>
    <rPh sb="2" eb="5">
      <t>シサンゼイ</t>
    </rPh>
    <phoneticPr fontId="1"/>
  </si>
  <si>
    <t>ランニングコスト合計</t>
    <rPh sb="8" eb="10">
      <t>ゴウケイ</t>
    </rPh>
    <phoneticPr fontId="1"/>
  </si>
  <si>
    <t>家賃</t>
    <rPh sb="0" eb="2">
      <t>ヤチン</t>
    </rPh>
    <phoneticPr fontId="1"/>
  </si>
  <si>
    <t>売却諸経費</t>
    <rPh sb="0" eb="2">
      <t>バイキャク</t>
    </rPh>
    <rPh sb="2" eb="5">
      <t>ショケイヒ</t>
    </rPh>
    <phoneticPr fontId="1"/>
  </si>
  <si>
    <t>引っ越し料金</t>
    <rPh sb="0" eb="1">
      <t>ヒ</t>
    </rPh>
    <rPh sb="2" eb="3">
      <t>コ</t>
    </rPh>
    <rPh sb="4" eb="6">
      <t>リョウキン</t>
    </rPh>
    <phoneticPr fontId="1"/>
  </si>
  <si>
    <t>諸経費合計</t>
    <rPh sb="0" eb="3">
      <t>ショケイヒ</t>
    </rPh>
    <rPh sb="3" eb="5">
      <t>ゴウケイ</t>
    </rPh>
    <phoneticPr fontId="1"/>
  </si>
  <si>
    <t>総計</t>
    <rPh sb="0" eb="2">
      <t>ソウケイ</t>
    </rPh>
    <phoneticPr fontId="1"/>
  </si>
  <si>
    <t>損益分岐点</t>
    <rPh sb="0" eb="5">
      <t>ソンエキブンキテン</t>
    </rPh>
    <phoneticPr fontId="1"/>
  </si>
  <si>
    <t>引っ越し回数</t>
    <rPh sb="0" eb="1">
      <t>ヒ</t>
    </rPh>
    <rPh sb="2" eb="3">
      <t>コ</t>
    </rPh>
    <rPh sb="4" eb="6">
      <t>カイスウ</t>
    </rPh>
    <phoneticPr fontId="1"/>
  </si>
  <si>
    <t>家賃（管理費含む）</t>
    <rPh sb="0" eb="2">
      <t>ヤチン</t>
    </rPh>
    <phoneticPr fontId="1"/>
  </si>
  <si>
    <r>
      <t>初期費用</t>
    </r>
    <r>
      <rPr>
        <sz val="11"/>
        <color rgb="FFFF0000"/>
        <rFont val="游ゴシック"/>
        <family val="3"/>
        <charset val="128"/>
        <scheme val="minor"/>
      </rPr>
      <t>※1</t>
    </r>
    <rPh sb="0" eb="4">
      <t>ショキヒヨウ</t>
    </rPh>
    <phoneticPr fontId="1"/>
  </si>
  <si>
    <t>※1：家賃×5倍</t>
    <rPh sb="3" eb="5">
      <t>ヤチン</t>
    </rPh>
    <rPh sb="7" eb="8">
      <t>バイ</t>
    </rPh>
    <phoneticPr fontId="1"/>
  </si>
  <si>
    <t>売却年数</t>
    <rPh sb="0" eb="4">
      <t>バイキャクネンスウ</t>
    </rPh>
    <phoneticPr fontId="1"/>
  </si>
  <si>
    <t>回</t>
    <rPh sb="0" eb="1">
      <t>カイ</t>
    </rPh>
    <phoneticPr fontId="1"/>
  </si>
  <si>
    <r>
      <t>更新費用</t>
    </r>
    <r>
      <rPr>
        <sz val="11"/>
        <color rgb="FFFF0000"/>
        <rFont val="游ゴシック"/>
        <family val="3"/>
        <charset val="128"/>
        <scheme val="minor"/>
      </rPr>
      <t>※2</t>
    </r>
    <rPh sb="0" eb="2">
      <t>コウシン</t>
    </rPh>
    <rPh sb="2" eb="4">
      <t>ヒヨウ</t>
    </rPh>
    <phoneticPr fontId="1"/>
  </si>
  <si>
    <t>更新費用</t>
    <rPh sb="0" eb="2">
      <t>コウシン</t>
    </rPh>
    <rPh sb="2" eb="4">
      <t>ヒヨウ</t>
    </rPh>
    <phoneticPr fontId="1"/>
  </si>
  <si>
    <t>0-1年</t>
    <rPh sb="3" eb="4">
      <t>ネン</t>
    </rPh>
    <phoneticPr fontId="1"/>
  </si>
  <si>
    <t>2-3年</t>
    <rPh sb="3" eb="4">
      <t>ネン</t>
    </rPh>
    <phoneticPr fontId="1"/>
  </si>
  <si>
    <t>4-5年</t>
    <rPh sb="3" eb="4">
      <t>ネン</t>
    </rPh>
    <phoneticPr fontId="1"/>
  </si>
  <si>
    <t>6-7年</t>
    <rPh sb="3" eb="4">
      <t>ネン</t>
    </rPh>
    <phoneticPr fontId="1"/>
  </si>
  <si>
    <t>8-9年</t>
    <rPh sb="3" eb="4">
      <t>ネン</t>
    </rPh>
    <phoneticPr fontId="1"/>
  </si>
  <si>
    <t>12-13年</t>
    <rPh sb="5" eb="6">
      <t>ネン</t>
    </rPh>
    <phoneticPr fontId="1"/>
  </si>
  <si>
    <t>10-11年</t>
    <rPh sb="5" eb="6">
      <t>ネン</t>
    </rPh>
    <phoneticPr fontId="1"/>
  </si>
  <si>
    <t>14-15年</t>
    <rPh sb="5" eb="6">
      <t>ネン</t>
    </rPh>
    <phoneticPr fontId="1"/>
  </si>
  <si>
    <t>16-17年</t>
    <rPh sb="5" eb="6">
      <t>ネン</t>
    </rPh>
    <phoneticPr fontId="1"/>
  </si>
  <si>
    <t>18-19年</t>
    <rPh sb="5" eb="6">
      <t>ネン</t>
    </rPh>
    <phoneticPr fontId="1"/>
  </si>
  <si>
    <t>20-21年</t>
    <rPh sb="5" eb="6">
      <t>ネン</t>
    </rPh>
    <phoneticPr fontId="1"/>
  </si>
  <si>
    <t>22-23年</t>
    <rPh sb="5" eb="6">
      <t>ネン</t>
    </rPh>
    <phoneticPr fontId="1"/>
  </si>
  <si>
    <t>24-25年</t>
    <rPh sb="5" eb="6">
      <t>ネン</t>
    </rPh>
    <phoneticPr fontId="1"/>
  </si>
  <si>
    <t>26-27年</t>
    <rPh sb="5" eb="6">
      <t>ネン</t>
    </rPh>
    <phoneticPr fontId="1"/>
  </si>
  <si>
    <t>28-29年</t>
    <rPh sb="5" eb="6">
      <t>ネン</t>
    </rPh>
    <phoneticPr fontId="1"/>
  </si>
  <si>
    <t>30-31年</t>
    <rPh sb="5" eb="6">
      <t>ネン</t>
    </rPh>
    <phoneticPr fontId="1"/>
  </si>
  <si>
    <t>32-33年</t>
    <rPh sb="5" eb="6">
      <t>ネン</t>
    </rPh>
    <phoneticPr fontId="1"/>
  </si>
  <si>
    <t>34-35年</t>
    <rPh sb="5" eb="6">
      <t>ネン</t>
    </rPh>
    <phoneticPr fontId="1"/>
  </si>
  <si>
    <t>36-37年</t>
    <rPh sb="5" eb="6">
      <t>ネン</t>
    </rPh>
    <phoneticPr fontId="1"/>
  </si>
  <si>
    <t>38-39年</t>
    <rPh sb="5" eb="6">
      <t>ネン</t>
    </rPh>
    <phoneticPr fontId="1"/>
  </si>
  <si>
    <t>40-41年</t>
    <rPh sb="5" eb="6">
      <t>ネン</t>
    </rPh>
    <phoneticPr fontId="1"/>
  </si>
  <si>
    <t>42-43年</t>
    <rPh sb="5" eb="6">
      <t>ネン</t>
    </rPh>
    <phoneticPr fontId="1"/>
  </si>
  <si>
    <t>44-45年</t>
    <rPh sb="5" eb="6">
      <t>ネン</t>
    </rPh>
    <phoneticPr fontId="1"/>
  </si>
  <si>
    <t>46-47年</t>
    <rPh sb="5" eb="6">
      <t>ネン</t>
    </rPh>
    <phoneticPr fontId="1"/>
  </si>
  <si>
    <t>48-49年</t>
    <rPh sb="5" eb="6">
      <t>ネン</t>
    </rPh>
    <phoneticPr fontId="1"/>
  </si>
  <si>
    <t>50-51年</t>
    <rPh sb="5" eb="6">
      <t>ネン</t>
    </rPh>
    <phoneticPr fontId="1"/>
  </si>
  <si>
    <r>
      <t>引っ越し料金</t>
    </r>
    <r>
      <rPr>
        <sz val="11"/>
        <color rgb="FFFF0000"/>
        <rFont val="游ゴシック"/>
        <family val="3"/>
        <charset val="128"/>
        <scheme val="minor"/>
      </rPr>
      <t>※3</t>
    </r>
    <rPh sb="0" eb="1">
      <t>ヒ</t>
    </rPh>
    <rPh sb="2" eb="3">
      <t>コ</t>
    </rPh>
    <rPh sb="4" eb="6">
      <t>リョウキン</t>
    </rPh>
    <phoneticPr fontId="1"/>
  </si>
  <si>
    <r>
      <t>引っ越し回数</t>
    </r>
    <r>
      <rPr>
        <sz val="11"/>
        <color rgb="FFFF0000"/>
        <rFont val="游ゴシック"/>
        <family val="3"/>
        <charset val="128"/>
        <scheme val="minor"/>
      </rPr>
      <t>※4</t>
    </r>
    <rPh sb="0" eb="1">
      <t>ヒ</t>
    </rPh>
    <rPh sb="2" eb="3">
      <t>コ</t>
    </rPh>
    <rPh sb="4" eb="6">
      <t>カイスウ</t>
    </rPh>
    <phoneticPr fontId="1"/>
  </si>
  <si>
    <t>※3：15万円/回</t>
    <rPh sb="5" eb="7">
      <t>マンエン</t>
    </rPh>
    <rPh sb="8" eb="9">
      <t>カイ</t>
    </rPh>
    <phoneticPr fontId="1"/>
  </si>
  <si>
    <t>※4：15年/回</t>
    <rPh sb="5" eb="6">
      <t>ネン</t>
    </rPh>
    <rPh sb="7" eb="8">
      <t>カイ</t>
    </rPh>
    <phoneticPr fontId="1"/>
  </si>
  <si>
    <t>※2：家賃１ヵ月分(2年に１度更新）</t>
    <rPh sb="3" eb="5">
      <t>ヤチン</t>
    </rPh>
    <rPh sb="7" eb="8">
      <t>ゲツ</t>
    </rPh>
    <rPh sb="8" eb="9">
      <t>ブン</t>
    </rPh>
    <rPh sb="11" eb="12">
      <t>ネン</t>
    </rPh>
    <rPh sb="14" eb="15">
      <t>ド</t>
    </rPh>
    <rPh sb="15" eb="17">
      <t>コウシン</t>
    </rPh>
    <phoneticPr fontId="1"/>
  </si>
  <si>
    <t>売却年数（居住年数）</t>
    <rPh sb="0" eb="4">
      <t>バイキャクネンスウ</t>
    </rPh>
    <rPh sb="5" eb="7">
      <t>キョジュウ</t>
    </rPh>
    <rPh sb="7" eb="9">
      <t>ネンスウ</t>
    </rPh>
    <phoneticPr fontId="1"/>
  </si>
  <si>
    <t>初期費用</t>
    <rPh sb="0" eb="2">
      <t>ショキ</t>
    </rPh>
    <rPh sb="2" eb="3">
      <t>ヒ</t>
    </rPh>
    <phoneticPr fontId="1"/>
  </si>
  <si>
    <t>持ち家総計</t>
    <rPh sb="0" eb="1">
      <t>モ</t>
    </rPh>
    <rPh sb="2" eb="3">
      <t>イエ</t>
    </rPh>
    <rPh sb="3" eb="5">
      <t>ソウケイ</t>
    </rPh>
    <phoneticPr fontId="1"/>
  </si>
  <si>
    <t>賃貸総計</t>
    <rPh sb="0" eb="2">
      <t>チンタイ</t>
    </rPh>
    <rPh sb="2" eb="4">
      <t>ソウケイ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</si>
  <si>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</si>
  <si>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</si>
  <si>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</si>
  <si>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</si>
  <si>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</si>
  <si>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</si>
  <si>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</si>
  <si>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</si>
  <si>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</si>
  <si>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</si>
  <si>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</si>
  <si>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</si>
  <si>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</si>
  <si>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</si>
  <si>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</si>
  <si>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</si>
  <si>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</si>
  <si>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</si>
  <si>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</si>
  <si>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</si>
  <si>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</si>
  <si>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</si>
  <si>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</si>
  <si>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</si>
  <si>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</si>
  <si>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</si>
  <si>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</si>
  <si>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</si>
  <si>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</si>
  <si>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30年</t>
    <rPh sb="2" eb="3">
      <t>ネン</t>
    </rPh>
    <phoneticPr fontId="1"/>
  </si>
  <si>
    <t>31年</t>
    <rPh sb="2" eb="3">
      <t>ネン</t>
    </rPh>
    <phoneticPr fontId="1"/>
  </si>
  <si>
    <t>32年</t>
    <rPh sb="2" eb="3">
      <t>ネン</t>
    </rPh>
    <phoneticPr fontId="1"/>
  </si>
  <si>
    <t>33年</t>
    <rPh sb="2" eb="3">
      <t>ネン</t>
    </rPh>
    <phoneticPr fontId="1"/>
  </si>
  <si>
    <t>34年</t>
    <rPh sb="2" eb="3">
      <t>ネン</t>
    </rPh>
    <phoneticPr fontId="1"/>
  </si>
  <si>
    <t>35年</t>
    <rPh sb="2" eb="3">
      <t>ネン</t>
    </rPh>
    <phoneticPr fontId="1"/>
  </si>
  <si>
    <t>36年</t>
    <rPh sb="2" eb="3">
      <t>ネン</t>
    </rPh>
    <phoneticPr fontId="1"/>
  </si>
  <si>
    <t>37年</t>
    <rPh sb="2" eb="3">
      <t>ネン</t>
    </rPh>
    <phoneticPr fontId="1"/>
  </si>
  <si>
    <t>38年</t>
    <rPh sb="2" eb="3">
      <t>ネン</t>
    </rPh>
    <phoneticPr fontId="1"/>
  </si>
  <si>
    <t>39年</t>
    <rPh sb="2" eb="3">
      <t>ネン</t>
    </rPh>
    <phoneticPr fontId="1"/>
  </si>
  <si>
    <t>40年</t>
    <rPh sb="2" eb="3">
      <t>ネン</t>
    </rPh>
    <phoneticPr fontId="1"/>
  </si>
  <si>
    <t>41年</t>
    <rPh sb="2" eb="3">
      <t>ネン</t>
    </rPh>
    <phoneticPr fontId="1"/>
  </si>
  <si>
    <t>42年</t>
    <rPh sb="2" eb="3">
      <t>ネン</t>
    </rPh>
    <phoneticPr fontId="1"/>
  </si>
  <si>
    <t>43年</t>
    <rPh sb="2" eb="3">
      <t>ネン</t>
    </rPh>
    <phoneticPr fontId="1"/>
  </si>
  <si>
    <t>44年</t>
    <rPh sb="2" eb="3">
      <t>ネン</t>
    </rPh>
    <phoneticPr fontId="1"/>
  </si>
  <si>
    <t>45年</t>
    <rPh sb="2" eb="3">
      <t>ネン</t>
    </rPh>
    <phoneticPr fontId="1"/>
  </si>
  <si>
    <t>46年</t>
    <rPh sb="2" eb="3">
      <t>ネン</t>
    </rPh>
    <phoneticPr fontId="1"/>
  </si>
  <si>
    <t>47年</t>
    <rPh sb="2" eb="3">
      <t>ネン</t>
    </rPh>
    <phoneticPr fontId="1"/>
  </si>
  <si>
    <t>48年</t>
    <rPh sb="2" eb="3">
      <t>ネン</t>
    </rPh>
    <phoneticPr fontId="1"/>
  </si>
  <si>
    <t>49年</t>
    <rPh sb="2" eb="3">
      <t>ネン</t>
    </rPh>
    <phoneticPr fontId="1"/>
  </si>
  <si>
    <t>50年</t>
    <rPh sb="2" eb="3">
      <t>ネン</t>
    </rPh>
    <phoneticPr fontId="1"/>
  </si>
  <si>
    <t>物件購入価格</t>
    <rPh sb="0" eb="2">
      <t>ブッケン</t>
    </rPh>
    <rPh sb="2" eb="6">
      <t>コウニュウカカク</t>
    </rPh>
    <phoneticPr fontId="1"/>
  </si>
  <si>
    <r>
      <t>築10年残存価値（割合）</t>
    </r>
    <r>
      <rPr>
        <sz val="11"/>
        <color rgb="FFFF0000"/>
        <rFont val="游ゴシック"/>
        <family val="3"/>
        <charset val="128"/>
        <scheme val="minor"/>
      </rPr>
      <t>※1</t>
    </r>
    <rPh sb="0" eb="1">
      <t>チク</t>
    </rPh>
    <rPh sb="3" eb="4">
      <t>ネン</t>
    </rPh>
    <rPh sb="4" eb="8">
      <t>ザンゾンカチ</t>
    </rPh>
    <rPh sb="9" eb="11">
      <t>ワリアイ</t>
    </rPh>
    <phoneticPr fontId="1"/>
  </si>
  <si>
    <r>
      <t>築20年残存価値（割合）</t>
    </r>
    <r>
      <rPr>
        <sz val="11"/>
        <color rgb="FFFF0000"/>
        <rFont val="游ゴシック"/>
        <family val="3"/>
        <charset val="128"/>
        <scheme val="minor"/>
      </rPr>
      <t>※1</t>
    </r>
    <rPh sb="0" eb="1">
      <t>チク</t>
    </rPh>
    <rPh sb="3" eb="4">
      <t>ネン</t>
    </rPh>
    <rPh sb="4" eb="8">
      <t>ザンゾンカチ</t>
    </rPh>
    <rPh sb="9" eb="11">
      <t>ワリアイ</t>
    </rPh>
    <phoneticPr fontId="1"/>
  </si>
  <si>
    <r>
      <t>築30年残存価値（割合）</t>
    </r>
    <r>
      <rPr>
        <sz val="11"/>
        <color rgb="FFFF0000"/>
        <rFont val="游ゴシック"/>
        <family val="3"/>
        <charset val="128"/>
        <scheme val="minor"/>
      </rPr>
      <t>※1</t>
    </r>
    <rPh sb="0" eb="1">
      <t>チク</t>
    </rPh>
    <rPh sb="3" eb="4">
      <t>ネン</t>
    </rPh>
    <rPh sb="4" eb="8">
      <t>ザンゾンカチ</t>
    </rPh>
    <rPh sb="9" eb="11">
      <t>ワリアイ</t>
    </rPh>
    <phoneticPr fontId="1"/>
  </si>
  <si>
    <t>残存価値割合計算</t>
    <rPh sb="0" eb="4">
      <t>ザンゾンカチ</t>
    </rPh>
    <rPh sb="4" eb="6">
      <t>ワリアイ</t>
    </rPh>
    <rPh sb="6" eb="8">
      <t>ケイサン</t>
    </rPh>
    <phoneticPr fontId="1"/>
  </si>
  <si>
    <t>割合</t>
    <rPh sb="0" eb="2">
      <t>ワリアイ</t>
    </rPh>
    <phoneticPr fontId="1"/>
  </si>
  <si>
    <t>売却費用</t>
    <rPh sb="0" eb="2">
      <t>バイキャク</t>
    </rPh>
    <rPh sb="2" eb="4">
      <t>ヒヨウ</t>
    </rPh>
    <phoneticPr fontId="1"/>
  </si>
  <si>
    <t>売却額</t>
    <rPh sb="0" eb="2">
      <t>バイキャク</t>
    </rPh>
    <rPh sb="2" eb="3">
      <t>ガク</t>
    </rPh>
    <phoneticPr fontId="1"/>
  </si>
  <si>
    <r>
      <t>売却価格</t>
    </r>
    <r>
      <rPr>
        <sz val="11"/>
        <color rgb="FFFF0000"/>
        <rFont val="游ゴシック"/>
        <family val="3"/>
        <charset val="128"/>
        <scheme val="minor"/>
      </rPr>
      <t>※1</t>
    </r>
    <rPh sb="0" eb="2">
      <t>バイキャク</t>
    </rPh>
    <rPh sb="2" eb="4">
      <t>カカク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</si>
</sst>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"/>
    <numFmt numFmtId="177" formatCode="#,##0&quot;ヵ&quot;&quot;月&quot;"/>
    <numFmt numFmtId="178" formatCode="0.0"/>
    <numFmt numFmtId="179" formatCode="yyyy&quot;年&quot;m&quot;月&quot;;@"/>
    <numFmt numFmtId="180" formatCode="#,##0_ "/>
    <numFmt numFmtId="181" formatCode="##"/>
    <numFmt numFmtId="182" formatCode="#,##0.00_ "/>
    <numFmt numFmtId="183" formatCode="0.0_ "/>
    <numFmt numFmtId="184" formatCode="0&quot;年&quot;"/>
    <numFmt numFmtId="185" formatCode="0&quot;回&quot;"/>
    <numFmt numFmtId="186" formatCode="##&quot;年以上&quot;"/>
    <numFmt numFmtId="187" formatCode="#,###&quot;万&quot;&quot;円&quot;"/>
    <numFmt numFmtId="188" formatCode="General\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FA2"/>
        <bgColor indexed="64"/>
      </patternFill>
    </fill>
    <fill>
      <patternFill patternType="solid">
        <fgColor rgb="FF8BBA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0" borderId="4" xfId="0" applyBorder="1">
      <alignment vertical="center"/>
    </xf>
    <xf numFmtId="0" fontId="0" fillId="4" borderId="11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4" xfId="0" applyFill="1" applyBorder="1">
      <alignment vertical="center"/>
    </xf>
    <xf numFmtId="0" fontId="2" fillId="3" borderId="0" xfId="0" applyFont="1" applyFill="1">
      <alignment vertical="center"/>
    </xf>
    <xf numFmtId="0" fontId="2" fillId="0" borderId="4" xfId="0" applyFont="1" applyBorder="1" applyAlignment="1">
      <alignment horizontal="center" vertical="center"/>
    </xf>
    <xf numFmtId="0" fontId="3" fillId="3" borderId="0" xfId="0" applyFont="1" applyFill="1">
      <alignment vertical="center"/>
    </xf>
    <xf numFmtId="3" fontId="0" fillId="0" borderId="0" xfId="0" applyNumberFormat="1">
      <alignment vertical="center"/>
    </xf>
    <xf numFmtId="177" fontId="0" fillId="4" borderId="4" xfId="0" applyNumberFormat="1" applyFill="1" applyBorder="1">
      <alignment vertical="center"/>
    </xf>
    <xf numFmtId="178" fontId="0" fillId="2" borderId="4" xfId="0" applyNumberFormat="1" applyFill="1" applyBorder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176" fontId="0" fillId="0" borderId="4" xfId="0" applyNumberFormat="1" applyBorder="1">
      <alignment vertical="center"/>
    </xf>
    <xf numFmtId="176" fontId="0" fillId="4" borderId="4" xfId="0" applyNumberFormat="1" applyFill="1" applyBorder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0" applyNumberFormat="1" applyAlignment="1">
      <alignment horizontal="right" vertical="center"/>
    </xf>
    <xf numFmtId="180" fontId="0" fillId="0" borderId="8" xfId="0" applyNumberFormat="1" applyBorder="1">
      <alignment vertical="center"/>
    </xf>
    <xf numFmtId="40" fontId="0" fillId="5" borderId="9" xfId="0" applyNumberFormat="1" applyFill="1" applyBorder="1" applyAlignment="1">
      <alignment horizontal="center" vertical="center"/>
    </xf>
    <xf numFmtId="181" fontId="0" fillId="5" borderId="9" xfId="0" applyNumberFormat="1" applyFill="1" applyBorder="1" applyAlignment="1">
      <alignment horizontal="center" vertical="center"/>
    </xf>
    <xf numFmtId="180" fontId="0" fillId="0" borderId="14" xfId="0" applyNumberFormat="1" applyBorder="1">
      <alignment vertical="center"/>
    </xf>
    <xf numFmtId="176" fontId="6" fillId="0" borderId="4" xfId="0" applyNumberFormat="1" applyFont="1" applyBorder="1">
      <alignment vertical="center"/>
    </xf>
    <xf numFmtId="0" fontId="4" fillId="0" borderId="0" xfId="0" applyFont="1">
      <alignment vertical="center"/>
    </xf>
    <xf numFmtId="0" fontId="0" fillId="5" borderId="9" xfId="0" applyFill="1" applyBorder="1" applyAlignment="1">
      <alignment horizontal="center" vertical="center"/>
    </xf>
    <xf numFmtId="180" fontId="4" fillId="0" borderId="0" xfId="0" applyNumberFormat="1" applyFont="1">
      <alignment vertical="center"/>
    </xf>
    <xf numFmtId="180" fontId="7" fillId="0" borderId="19" xfId="0" applyNumberFormat="1" applyFont="1" applyBorder="1">
      <alignment vertical="center"/>
    </xf>
    <xf numFmtId="180" fontId="0" fillId="0" borderId="20" xfId="0" applyNumberFormat="1" applyBorder="1">
      <alignment vertical="center"/>
    </xf>
    <xf numFmtId="3" fontId="0" fillId="5" borderId="9" xfId="0" applyNumberFormat="1" applyFill="1" applyBorder="1" applyAlignment="1">
      <alignment horizontal="center" vertical="center"/>
    </xf>
    <xf numFmtId="180" fontId="0" fillId="0" borderId="15" xfId="0" applyNumberFormat="1" applyBorder="1">
      <alignment vertical="center"/>
    </xf>
    <xf numFmtId="180" fontId="0" fillId="5" borderId="16" xfId="0" applyNumberForma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5" borderId="7" xfId="0" applyFill="1" applyBorder="1" applyAlignment="1">
      <alignment horizontal="center" vertical="center"/>
    </xf>
    <xf numFmtId="180" fontId="0" fillId="6" borderId="16" xfId="0" applyNumberFormat="1" applyFill="1" applyBorder="1" applyAlignment="1">
      <alignment horizontal="center" vertical="center"/>
    </xf>
    <xf numFmtId="180" fontId="0" fillId="6" borderId="18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82" fontId="0" fillId="5" borderId="16" xfId="0" applyNumberFormat="1" applyFill="1" applyBorder="1" applyAlignment="1">
      <alignment horizontal="center" vertical="center"/>
    </xf>
    <xf numFmtId="0" fontId="0" fillId="3" borderId="17" xfId="0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180" fontId="0" fillId="3" borderId="15" xfId="0" applyNumberFormat="1" applyFill="1" applyBorder="1">
      <alignment vertical="center"/>
    </xf>
    <xf numFmtId="176" fontId="6" fillId="3" borderId="4" xfId="0" applyNumberFormat="1" applyFont="1" applyFill="1" applyBorder="1">
      <alignment vertical="center"/>
    </xf>
    <xf numFmtId="180" fontId="0" fillId="3" borderId="8" xfId="0" applyNumberFormat="1" applyFill="1" applyBorder="1">
      <alignment vertical="center"/>
    </xf>
    <xf numFmtId="176" fontId="0" fillId="3" borderId="4" xfId="0" applyNumberFormat="1" applyFill="1" applyBorder="1">
      <alignment vertical="center"/>
    </xf>
    <xf numFmtId="180" fontId="0" fillId="3" borderId="14" xfId="0" applyNumberFormat="1" applyFill="1" applyBorder="1">
      <alignment vertical="center"/>
    </xf>
    <xf numFmtId="180" fontId="0" fillId="3" borderId="20" xfId="0" applyNumberFormat="1" applyFill="1" applyBorder="1">
      <alignment vertical="center"/>
    </xf>
    <xf numFmtId="180" fontId="4" fillId="3" borderId="0" xfId="0" applyNumberFormat="1" applyFont="1" applyFill="1">
      <alignment vertical="center"/>
    </xf>
    <xf numFmtId="0" fontId="0" fillId="3" borderId="0" xfId="0" applyFill="1" applyAlignment="1">
      <alignment horizontal="center" vertical="center"/>
    </xf>
    <xf numFmtId="0" fontId="10" fillId="0" borderId="0" xfId="3" applyFont="1" applyFill="1">
      <alignment vertical="center"/>
    </xf>
    <xf numFmtId="0" fontId="5" fillId="3" borderId="8" xfId="0" applyFont="1" applyFill="1" applyBorder="1">
      <alignment vertical="center"/>
    </xf>
    <xf numFmtId="0" fontId="7" fillId="3" borderId="8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3" borderId="0" xfId="0" applyFont="1" applyFill="1">
      <alignment vertical="center"/>
    </xf>
    <xf numFmtId="185" fontId="0" fillId="0" borderId="0" xfId="0" applyNumberFormat="1">
      <alignment vertical="center"/>
    </xf>
    <xf numFmtId="186" fontId="0" fillId="0" borderId="0" xfId="0" applyNumberFormat="1">
      <alignment vertical="center"/>
    </xf>
    <xf numFmtId="184" fontId="0" fillId="0" borderId="0" xfId="0" applyNumberFormat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3" fontId="2" fillId="8" borderId="10" xfId="0" applyNumberFormat="1" applyFont="1" applyFill="1" applyBorder="1">
      <alignment vertical="center"/>
    </xf>
    <xf numFmtId="178" fontId="0" fillId="3" borderId="9" xfId="0" applyNumberFormat="1" applyFill="1" applyBorder="1">
      <alignment vertical="center"/>
    </xf>
    <xf numFmtId="178" fontId="0" fillId="4" borderId="9" xfId="0" applyNumberFormat="1" applyFill="1" applyBorder="1">
      <alignment vertical="center"/>
    </xf>
    <xf numFmtId="3" fontId="2" fillId="7" borderId="10" xfId="0" applyNumberFormat="1" applyFon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4" borderId="9" xfId="0" applyNumberFormat="1" applyFill="1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24" xfId="0" applyBorder="1">
      <alignment vertical="center"/>
    </xf>
    <xf numFmtId="185" fontId="0" fillId="3" borderId="9" xfId="0" applyNumberFormat="1" applyFill="1" applyBorder="1" applyAlignment="1">
      <alignment horizontal="center" vertical="center"/>
    </xf>
    <xf numFmtId="187" fontId="0" fillId="0" borderId="0" xfId="0" applyNumberFormat="1">
      <alignment vertical="center"/>
    </xf>
    <xf numFmtId="188" fontId="0" fillId="0" borderId="0" xfId="0" applyNumberFormat="1">
      <alignment vertical="center"/>
    </xf>
    <xf numFmtId="9" fontId="0" fillId="0" borderId="0" xfId="0" applyNumberFormat="1">
      <alignment vertical="center"/>
    </xf>
    <xf numFmtId="180" fontId="7" fillId="3" borderId="5" xfId="0" applyNumberFormat="1" applyFont="1" applyFill="1" applyBorder="1">
      <alignment vertical="center"/>
    </xf>
    <xf numFmtId="180" fontId="7" fillId="3" borderId="14" xfId="0" applyNumberFormat="1" applyFont="1" applyFill="1" applyBorder="1">
      <alignment vertical="center"/>
    </xf>
    <xf numFmtId="3" fontId="11" fillId="6" borderId="9" xfId="0" applyNumberFormat="1" applyFont="1" applyFill="1" applyBorder="1" applyAlignment="1">
      <alignment horizontal="center" vertical="center"/>
    </xf>
    <xf numFmtId="3" fontId="0" fillId="6" borderId="16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3" fontId="0" fillId="6" borderId="18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>
      <alignment vertical="center"/>
    </xf>
    <xf numFmtId="0" fontId="7" fillId="3" borderId="4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0" fillId="7" borderId="24" xfId="0" applyFill="1" applyBorder="1">
      <alignment vertical="center"/>
    </xf>
    <xf numFmtId="0" fontId="0" fillId="7" borderId="25" xfId="0" applyFill="1" applyBorder="1">
      <alignment vertical="center"/>
    </xf>
    <xf numFmtId="0" fontId="0" fillId="8" borderId="28" xfId="0" applyFill="1" applyBorder="1">
      <alignment vertical="center"/>
    </xf>
    <xf numFmtId="0" fontId="0" fillId="8" borderId="25" xfId="0" applyFill="1" applyBorder="1">
      <alignment vertical="center"/>
    </xf>
    <xf numFmtId="0" fontId="0" fillId="3" borderId="8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4" borderId="8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6" xfId="0" applyFill="1" applyBorder="1">
      <alignment vertical="center"/>
    </xf>
    <xf numFmtId="0" fontId="0" fillId="3" borderId="26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3" borderId="26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8" xfId="0" applyFill="1" applyBorder="1">
      <alignment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>
      <alignment vertical="center"/>
    </xf>
    <xf numFmtId="0" fontId="7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13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ハイパーリンク" xfId="3" builtinId="8"/>
    <cellStyle name="桁区切り 2" xfId="2" xr:uid="{43C83C25-6151-42E6-A993-A6550F1426AE}"/>
    <cellStyle name="標準" xfId="0" builtinId="0"/>
    <cellStyle name="標準 2" xfId="1" xr:uid="{1511A17C-92CC-40B9-94CA-B80ED4358C19}"/>
  </cellStyles>
  <dxfs count="0"/>
  <tableStyles count="0" defaultTableStyle="TableStyleMedium2" defaultPivotStyle="PivotStyleLight16"/>
  <colors>
    <mruColors>
      <color rgb="FF8BBAFF"/>
      <color rgb="FFFF8F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84016694212859"/>
          <c:y val="0.13299253228021418"/>
          <c:w val="0.79961449998693723"/>
          <c:h val="0.68679792080546687"/>
        </c:manualLayout>
      </c:layout>
      <c:scatterChart>
        <c:scatterStyle val="smoothMarker"/>
        <c:varyColors val="0"/>
        <c:ser>
          <c:idx val="0"/>
          <c:order val="0"/>
          <c:tx>
            <c:v>元利均等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計算用1!$W$3:$W$52</c:f>
              <c:strCache>
                <c:ptCount val="50"/>
                <c:pt idx="0">
                  <c:v>１年後</c:v>
                </c:pt>
                <c:pt idx="1">
                  <c:v>２年後</c:v>
                </c:pt>
                <c:pt idx="2">
                  <c:v>３年後</c:v>
                </c:pt>
                <c:pt idx="3">
                  <c:v>４年後</c:v>
                </c:pt>
                <c:pt idx="4">
                  <c:v>５年後</c:v>
                </c:pt>
                <c:pt idx="5">
                  <c:v>６年後</c:v>
                </c:pt>
                <c:pt idx="6">
                  <c:v>７年後</c:v>
                </c:pt>
                <c:pt idx="7">
                  <c:v>８年後</c:v>
                </c:pt>
                <c:pt idx="8">
                  <c:v>９年後</c:v>
                </c:pt>
                <c:pt idx="9">
                  <c:v>１０年後</c:v>
                </c:pt>
                <c:pt idx="10">
                  <c:v>１１年後</c:v>
                </c:pt>
                <c:pt idx="11">
                  <c:v>１２年後</c:v>
                </c:pt>
                <c:pt idx="12">
                  <c:v>１３年後</c:v>
                </c:pt>
                <c:pt idx="13">
                  <c:v>１４年後</c:v>
                </c:pt>
                <c:pt idx="14">
                  <c:v>１５年後</c:v>
                </c:pt>
                <c:pt idx="15">
                  <c:v>１６年後</c:v>
                </c:pt>
                <c:pt idx="16">
                  <c:v>１７年後</c:v>
                </c:pt>
                <c:pt idx="17">
                  <c:v>１８年後</c:v>
                </c:pt>
                <c:pt idx="18">
                  <c:v>１９年後</c:v>
                </c:pt>
                <c:pt idx="19">
                  <c:v>２０年後</c:v>
                </c:pt>
                <c:pt idx="20">
                  <c:v>２１年後</c:v>
                </c:pt>
                <c:pt idx="21">
                  <c:v>２２年後</c:v>
                </c:pt>
                <c:pt idx="22">
                  <c:v>２３年後</c:v>
                </c:pt>
                <c:pt idx="23">
                  <c:v>２４年後</c:v>
                </c:pt>
                <c:pt idx="24">
                  <c:v>２５年後</c:v>
                </c:pt>
                <c:pt idx="25">
                  <c:v>２６年後</c:v>
                </c:pt>
                <c:pt idx="26">
                  <c:v>２７年後</c:v>
                </c:pt>
                <c:pt idx="27">
                  <c:v>２８年後</c:v>
                </c:pt>
                <c:pt idx="28">
                  <c:v>２９年後</c:v>
                </c:pt>
                <c:pt idx="29">
                  <c:v>３０年後</c:v>
                </c:pt>
                <c:pt idx="30">
                  <c:v>３１年後</c:v>
                </c:pt>
                <c:pt idx="31">
                  <c:v>３２年後</c:v>
                </c:pt>
                <c:pt idx="32">
                  <c:v>３３年後</c:v>
                </c:pt>
                <c:pt idx="33">
                  <c:v>３４年後</c:v>
                </c:pt>
                <c:pt idx="34">
                  <c:v>３５年後</c:v>
                </c:pt>
                <c:pt idx="35">
                  <c:v>３６年後</c:v>
                </c:pt>
                <c:pt idx="36">
                  <c:v>３７年後</c:v>
                </c:pt>
                <c:pt idx="37">
                  <c:v>３８年後</c:v>
                </c:pt>
                <c:pt idx="38">
                  <c:v>３９年後</c:v>
                </c:pt>
                <c:pt idx="39">
                  <c:v>４０年後</c:v>
                </c:pt>
                <c:pt idx="40">
                  <c:v>４１年後</c:v>
                </c:pt>
                <c:pt idx="41">
                  <c:v>４２年後</c:v>
                </c:pt>
                <c:pt idx="42">
                  <c:v>４３年後</c:v>
                </c:pt>
                <c:pt idx="43">
                  <c:v>４４年後</c:v>
                </c:pt>
                <c:pt idx="44">
                  <c:v>４５年後</c:v>
                </c:pt>
                <c:pt idx="45">
                  <c:v>４６年後</c:v>
                </c:pt>
                <c:pt idx="46">
                  <c:v>４７年後</c:v>
                </c:pt>
                <c:pt idx="47">
                  <c:v>４８年後</c:v>
                </c:pt>
                <c:pt idx="48">
                  <c:v>４９年後</c:v>
                </c:pt>
                <c:pt idx="49">
                  <c:v>５０年後</c:v>
                </c:pt>
              </c:strCache>
            </c:strRef>
          </c:xVal>
          <c:yVal>
            <c:numRef>
              <c:f>計算用1!$X$3:$X$52</c:f>
              <c:numCache>
                <c:formatCode>0.0</c:formatCode>
                <c:ptCount val="50"/>
                <c:pt idx="0">
                  <c:v>37.601509441666622</c:v>
                </c:pt>
                <c:pt idx="1">
                  <c:v>23.563180973611111</c:v>
                </c:pt>
                <c:pt idx="2">
                  <c:v>18.885241342592582</c:v>
                </c:pt>
                <c:pt idx="3">
                  <c:v>16.547396804166652</c:v>
                </c:pt>
                <c:pt idx="4">
                  <c:v>15.145600754444429</c:v>
                </c:pt>
                <c:pt idx="5">
                  <c:v>14.211831161574063</c:v>
                </c:pt>
                <c:pt idx="6">
                  <c:v>13.545509902380948</c:v>
                </c:pt>
                <c:pt idx="7">
                  <c:v>13.046350304861102</c:v>
                </c:pt>
                <c:pt idx="8">
                  <c:v>12.65863046790122</c:v>
                </c:pt>
                <c:pt idx="9">
                  <c:v>12.348925817500003</c:v>
                </c:pt>
                <c:pt idx="10">
                  <c:v>11.745867019276092</c:v>
                </c:pt>
                <c:pt idx="11">
                  <c:v>11.243713933256174</c:v>
                </c:pt>
                <c:pt idx="12">
                  <c:v>10.819183064957269</c:v>
                </c:pt>
                <c:pt idx="13">
                  <c:v>10.559632158201063</c:v>
                </c:pt>
                <c:pt idx="14">
                  <c:v>10.330683039012349</c:v>
                </c:pt>
                <c:pt idx="15">
                  <c:v>10.126573913888896</c:v>
                </c:pt>
                <c:pt idx="16">
                  <c:v>9.9428987054466287</c:v>
                </c:pt>
                <c:pt idx="17">
                  <c:v>9.7762290757201686</c:v>
                </c:pt>
                <c:pt idx="18">
                  <c:v>9.6238588807017624</c:v>
                </c:pt>
                <c:pt idx="19">
                  <c:v>9.2560638533333357</c:v>
                </c:pt>
                <c:pt idx="20">
                  <c:v>8.9203227174603175</c:v>
                </c:pt>
                <c:pt idx="21">
                  <c:v>8.6122459272727259</c:v>
                </c:pt>
                <c:pt idx="22">
                  <c:v>8.3282076985507238</c:v>
                </c:pt>
                <c:pt idx="23">
                  <c:v>8.0651855027777781</c:v>
                </c:pt>
                <c:pt idx="24">
                  <c:v>7.820641416</c:v>
                </c:pt>
                <c:pt idx="25">
                  <c:v>7.5924273230769241</c:v>
                </c:pt>
                <c:pt idx="26">
                  <c:v>7.3787130395061746</c:v>
                </c:pt>
                <c:pt idx="27">
                  <c:v>7.1779298357142851</c:v>
                </c:pt>
                <c:pt idx="28">
                  <c:v>6.9887253586206901</c:v>
                </c:pt>
                <c:pt idx="29">
                  <c:v>6.8099272911111122</c:v>
                </c:pt>
                <c:pt idx="30">
                  <c:v>6.6405145827956984</c:v>
                </c:pt>
                <c:pt idx="31">
                  <c:v>6.4795943354166674</c:v>
                </c:pt>
                <c:pt idx="32">
                  <c:v>6.3263806181818181</c:v>
                </c:pt>
                <c:pt idx="33">
                  <c:v>6.1801806980392149</c:v>
                </c:pt>
                <c:pt idx="34">
                  <c:v>6.040380773333335</c:v>
                </c:pt>
                <c:pt idx="35">
                  <c:v>5.9072609370370381</c:v>
                </c:pt>
                <c:pt idx="36">
                  <c:v>5.7813890198198203</c:v>
                </c:pt>
                <c:pt idx="37">
                  <c:v>5.6621419403508781</c:v>
                </c:pt>
                <c:pt idx="38">
                  <c:v>5.5490100957264961</c:v>
                </c:pt>
                <c:pt idx="39">
                  <c:v>5.4415348433333337</c:v>
                </c:pt>
                <c:pt idx="40">
                  <c:v>5.3393022861788628</c:v>
                </c:pt>
                <c:pt idx="41">
                  <c:v>5.2419379460317463</c:v>
                </c:pt>
                <c:pt idx="42">
                  <c:v>5.1491021798449621</c:v>
                </c:pt>
                <c:pt idx="43">
                  <c:v>5.0604862212121215</c:v>
                </c:pt>
                <c:pt idx="44">
                  <c:v>4.9758087496296302</c:v>
                </c:pt>
                <c:pt idx="45">
                  <c:v>4.8948129072463775</c:v>
                </c:pt>
                <c:pt idx="46">
                  <c:v>4.8172636964539013</c:v>
                </c:pt>
                <c:pt idx="47">
                  <c:v>4.7429457027777779</c:v>
                </c:pt>
                <c:pt idx="48">
                  <c:v>4.6716610965986396</c:v>
                </c:pt>
                <c:pt idx="49">
                  <c:v>4.6032278746666675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61-459D-9B28-DB61BA79C843}"/>
            </c:ext>
          </c:extLst>
        </c:ser>
        <c:ser>
          <c:idx val="1"/>
          <c:order val="1"/>
          <c:tx>
            <c:v>元金均等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計算用2!$W$3:$W$52</c:f>
              <c:strCache>
                <c:ptCount val="50"/>
                <c:pt idx="0">
                  <c:v>１年後</c:v>
                </c:pt>
                <c:pt idx="1">
                  <c:v>２年後</c:v>
                </c:pt>
                <c:pt idx="2">
                  <c:v>３年後</c:v>
                </c:pt>
                <c:pt idx="3">
                  <c:v>４年後</c:v>
                </c:pt>
                <c:pt idx="4">
                  <c:v>５年後</c:v>
                </c:pt>
                <c:pt idx="5">
                  <c:v>６年後</c:v>
                </c:pt>
                <c:pt idx="6">
                  <c:v>７年後</c:v>
                </c:pt>
                <c:pt idx="7">
                  <c:v>８年後</c:v>
                </c:pt>
                <c:pt idx="8">
                  <c:v>９年後</c:v>
                </c:pt>
                <c:pt idx="9">
                  <c:v>１０年後</c:v>
                </c:pt>
                <c:pt idx="10">
                  <c:v>１１年後</c:v>
                </c:pt>
                <c:pt idx="11">
                  <c:v>１２年後</c:v>
                </c:pt>
                <c:pt idx="12">
                  <c:v>１３年後</c:v>
                </c:pt>
                <c:pt idx="13">
                  <c:v>１４年後</c:v>
                </c:pt>
                <c:pt idx="14">
                  <c:v>１５年後</c:v>
                </c:pt>
                <c:pt idx="15">
                  <c:v>１６年後</c:v>
                </c:pt>
                <c:pt idx="16">
                  <c:v>１７年後</c:v>
                </c:pt>
                <c:pt idx="17">
                  <c:v>１８年後</c:v>
                </c:pt>
                <c:pt idx="18">
                  <c:v>１９年後</c:v>
                </c:pt>
                <c:pt idx="19">
                  <c:v>２０年後</c:v>
                </c:pt>
                <c:pt idx="20">
                  <c:v>２１年後</c:v>
                </c:pt>
                <c:pt idx="21">
                  <c:v>２２年後</c:v>
                </c:pt>
                <c:pt idx="22">
                  <c:v>２３年後</c:v>
                </c:pt>
                <c:pt idx="23">
                  <c:v>２４年後</c:v>
                </c:pt>
                <c:pt idx="24">
                  <c:v>２５年後</c:v>
                </c:pt>
                <c:pt idx="25">
                  <c:v>２６年後</c:v>
                </c:pt>
                <c:pt idx="26">
                  <c:v>２７年後</c:v>
                </c:pt>
                <c:pt idx="27">
                  <c:v>２８年後</c:v>
                </c:pt>
                <c:pt idx="28">
                  <c:v>２９年後</c:v>
                </c:pt>
                <c:pt idx="29">
                  <c:v>３０年後</c:v>
                </c:pt>
                <c:pt idx="30">
                  <c:v>３１年後</c:v>
                </c:pt>
                <c:pt idx="31">
                  <c:v>３２年後</c:v>
                </c:pt>
                <c:pt idx="32">
                  <c:v>３３年後</c:v>
                </c:pt>
                <c:pt idx="33">
                  <c:v>３４年後</c:v>
                </c:pt>
                <c:pt idx="34">
                  <c:v>３５年後</c:v>
                </c:pt>
                <c:pt idx="35">
                  <c:v>３６年後</c:v>
                </c:pt>
                <c:pt idx="36">
                  <c:v>３７年後</c:v>
                </c:pt>
                <c:pt idx="37">
                  <c:v>３８年後</c:v>
                </c:pt>
                <c:pt idx="38">
                  <c:v>３９年後</c:v>
                </c:pt>
                <c:pt idx="39">
                  <c:v>４０年後</c:v>
                </c:pt>
                <c:pt idx="40">
                  <c:v>４１年後</c:v>
                </c:pt>
                <c:pt idx="41">
                  <c:v>４２年後</c:v>
                </c:pt>
                <c:pt idx="42">
                  <c:v>４３年後</c:v>
                </c:pt>
                <c:pt idx="43">
                  <c:v>４４年後</c:v>
                </c:pt>
                <c:pt idx="44">
                  <c:v>４５年後</c:v>
                </c:pt>
                <c:pt idx="45">
                  <c:v>４６年後</c:v>
                </c:pt>
                <c:pt idx="46">
                  <c:v>４７年後</c:v>
                </c:pt>
                <c:pt idx="47">
                  <c:v>４８年後</c:v>
                </c:pt>
                <c:pt idx="48">
                  <c:v>４９年後</c:v>
                </c:pt>
                <c:pt idx="49">
                  <c:v>５０年後</c:v>
                </c:pt>
              </c:strCache>
            </c:strRef>
          </c:xVal>
          <c:yVal>
            <c:numRef>
              <c:f>計算用2!$X$3:$X$52</c:f>
              <c:numCache>
                <c:formatCode>0.0</c:formatCode>
                <c:ptCount val="50"/>
                <c:pt idx="0">
                  <c:v>37.605602182539847</c:v>
                </c:pt>
                <c:pt idx="1">
                  <c:v>23.567415674603353</c:v>
                </c:pt>
                <c:pt idx="2">
                  <c:v>18.889599537037206</c:v>
                </c:pt>
                <c:pt idx="3">
                  <c:v>16.551875992063657</c:v>
                </c:pt>
                <c:pt idx="4">
                  <c:v>15.150189484127145</c:v>
                </c:pt>
                <c:pt idx="5">
                  <c:v>14.216521494709159</c:v>
                </c:pt>
                <c:pt idx="6">
                  <c:v>13.550292658730319</c:v>
                </c:pt>
                <c:pt idx="7">
                  <c:v>13.051213293650955</c:v>
                </c:pt>
                <c:pt idx="8">
                  <c:v>12.663566909171234</c:v>
                </c:pt>
                <c:pt idx="9">
                  <c:v>12.353923611111281</c:v>
                </c:pt>
                <c:pt idx="10">
                  <c:v>11.750917237854916</c:v>
                </c:pt>
                <c:pt idx="11">
                  <c:v>11.248806768077777</c:v>
                </c:pt>
                <c:pt idx="12">
                  <c:v>10.824308531746214</c:v>
                </c:pt>
                <c:pt idx="13">
                  <c:v>10.560291335979016</c:v>
                </c:pt>
                <c:pt idx="14">
                  <c:v>10.327370083774435</c:v>
                </c:pt>
                <c:pt idx="15">
                  <c:v>10.119714285714471</c:v>
                </c:pt>
                <c:pt idx="16">
                  <c:v>9.9328653322441944</c:v>
                </c:pt>
                <c:pt idx="17">
                  <c:v>9.7633554159319953</c:v>
                </c:pt>
                <c:pt idx="18">
                  <c:v>9.6084467940686924</c:v>
                </c:pt>
                <c:pt idx="19">
                  <c:v>9.2383890873017727</c:v>
                </c:pt>
                <c:pt idx="20">
                  <c:v>8.9006418650795425</c:v>
                </c:pt>
                <c:pt idx="21">
                  <c:v>8.5907991522368228</c:v>
                </c:pt>
                <c:pt idx="22">
                  <c:v>8.3052212301588906</c:v>
                </c:pt>
                <c:pt idx="23">
                  <c:v>8.0408750000001525</c:v>
                </c:pt>
                <c:pt idx="24">
                  <c:v>7.7952126587303079</c:v>
                </c:pt>
                <c:pt idx="25">
                  <c:v>7.566078373016019</c:v>
                </c:pt>
                <c:pt idx="26">
                  <c:v>7.3516356922400004</c:v>
                </c:pt>
                <c:pt idx="27">
                  <c:v>7.1503105158731497</c:v>
                </c:pt>
                <c:pt idx="28">
                  <c:v>6.9607458607007349</c:v>
                </c:pt>
                <c:pt idx="29">
                  <c:v>6.7817656746033022</c:v>
                </c:pt>
                <c:pt idx="30">
                  <c:v>6.6123456541219889</c:v>
                </c:pt>
                <c:pt idx="31">
                  <c:v>6.4515895337302789</c:v>
                </c:pt>
                <c:pt idx="32">
                  <c:v>6.2987096861473031</c:v>
                </c:pt>
                <c:pt idx="33">
                  <c:v>6.1530111461252304</c:v>
                </c:pt>
                <c:pt idx="34">
                  <c:v>6.0138783730159862</c:v>
                </c:pt>
                <c:pt idx="35">
                  <c:v>5.8815484182098894</c:v>
                </c:pt>
                <c:pt idx="36">
                  <c:v>5.7563714339339462</c:v>
                </c:pt>
                <c:pt idx="37">
                  <c:v>5.6377827119883168</c:v>
                </c:pt>
                <c:pt idx="38">
                  <c:v>5.5252754629629752</c:v>
                </c:pt>
                <c:pt idx="39">
                  <c:v>5.4183935763889002</c:v>
                </c:pt>
                <c:pt idx="40">
                  <c:v>5.3167254403794155</c:v>
                </c:pt>
                <c:pt idx="41">
                  <c:v>5.2198986441799056</c:v>
                </c:pt>
                <c:pt idx="42">
                  <c:v>5.1275754198966519</c:v>
                </c:pt>
                <c:pt idx="43">
                  <c:v>5.0394487058080912</c:v>
                </c:pt>
                <c:pt idx="44">
                  <c:v>4.9552387345679119</c:v>
                </c:pt>
                <c:pt idx="45">
                  <c:v>4.8746900664251314</c:v>
                </c:pt>
                <c:pt idx="46">
                  <c:v>4.7975690011820431</c:v>
                </c:pt>
                <c:pt idx="47">
                  <c:v>4.7236613136574173</c:v>
                </c:pt>
                <c:pt idx="48">
                  <c:v>4.6527702664399184</c:v>
                </c:pt>
                <c:pt idx="49">
                  <c:v>4.5847148611111201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FA-4D96-9A82-A42527558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845280"/>
        <c:axId val="1206843616"/>
      </c:scatterChart>
      <c:valAx>
        <c:axId val="120684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2000"/>
                  <a:t>居住年数</a:t>
                </a:r>
              </a:p>
            </c:rich>
          </c:tx>
          <c:layout>
            <c:manualLayout>
              <c:xMode val="edge"/>
              <c:yMode val="edge"/>
              <c:x val="0.46278370280340275"/>
              <c:y val="0.862827701964781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6843616"/>
        <c:crosses val="autoZero"/>
        <c:crossBetween val="midCat"/>
      </c:valAx>
      <c:valAx>
        <c:axId val="120684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2000"/>
                  <a:t>真実の家賃</a:t>
                </a:r>
              </a:p>
            </c:rich>
          </c:tx>
          <c:layout>
            <c:manualLayout>
              <c:xMode val="edge"/>
              <c:yMode val="edge"/>
              <c:x val="2.2760272425459676E-2"/>
              <c:y val="0.339136592107589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68452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954730161838852"/>
          <c:y val="0.93297695230021949"/>
          <c:w val="0.68626156141168715"/>
          <c:h val="5.4639150796209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損益分岐点</a:t>
            </a:r>
          </a:p>
        </c:rich>
      </c:tx>
      <c:layout>
        <c:manualLayout>
          <c:xMode val="edge"/>
          <c:yMode val="edge"/>
          <c:x val="0.42712216271372649"/>
          <c:y val="1.66320166320166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101794056682239"/>
          <c:y val="0.11492723492723493"/>
          <c:w val="0.87117255952211115"/>
          <c:h val="0.67693603848299466"/>
        </c:manualLayout>
      </c:layout>
      <c:lineChart>
        <c:grouping val="standard"/>
        <c:varyColors val="0"/>
        <c:ser>
          <c:idx val="0"/>
          <c:order val="0"/>
          <c:tx>
            <c:v>持ち家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計算用3!$O$2:$O$51</c:f>
              <c:strCache>
                <c:ptCount val="50"/>
                <c:pt idx="0">
                  <c:v>1年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</c:v>
                </c:pt>
                <c:pt idx="14">
                  <c:v>15年</c:v>
                </c:pt>
                <c:pt idx="15">
                  <c:v>16年</c:v>
                </c:pt>
                <c:pt idx="16">
                  <c:v>17年</c:v>
                </c:pt>
                <c:pt idx="17">
                  <c:v>18年</c:v>
                </c:pt>
                <c:pt idx="18">
                  <c:v>19年</c:v>
                </c:pt>
                <c:pt idx="19">
                  <c:v>20年</c:v>
                </c:pt>
                <c:pt idx="20">
                  <c:v>21年</c:v>
                </c:pt>
                <c:pt idx="21">
                  <c:v>22年</c:v>
                </c:pt>
                <c:pt idx="22">
                  <c:v>23年</c:v>
                </c:pt>
                <c:pt idx="23">
                  <c:v>24年</c:v>
                </c:pt>
                <c:pt idx="24">
                  <c:v>25年</c:v>
                </c:pt>
                <c:pt idx="25">
                  <c:v>26年</c:v>
                </c:pt>
                <c:pt idx="26">
                  <c:v>27年</c:v>
                </c:pt>
                <c:pt idx="27">
                  <c:v>28年</c:v>
                </c:pt>
                <c:pt idx="28">
                  <c:v>29年</c:v>
                </c:pt>
                <c:pt idx="29">
                  <c:v>30年</c:v>
                </c:pt>
                <c:pt idx="30">
                  <c:v>31年</c:v>
                </c:pt>
                <c:pt idx="31">
                  <c:v>32年</c:v>
                </c:pt>
                <c:pt idx="32">
                  <c:v>33年</c:v>
                </c:pt>
                <c:pt idx="33">
                  <c:v>34年</c:v>
                </c:pt>
                <c:pt idx="34">
                  <c:v>35年</c:v>
                </c:pt>
                <c:pt idx="35">
                  <c:v>36年</c:v>
                </c:pt>
                <c:pt idx="36">
                  <c:v>37年</c:v>
                </c:pt>
                <c:pt idx="37">
                  <c:v>38年</c:v>
                </c:pt>
                <c:pt idx="38">
                  <c:v>39年</c:v>
                </c:pt>
                <c:pt idx="39">
                  <c:v>40年</c:v>
                </c:pt>
                <c:pt idx="40">
                  <c:v>41年</c:v>
                </c:pt>
                <c:pt idx="41">
                  <c:v>42年</c:v>
                </c:pt>
                <c:pt idx="42">
                  <c:v>43年</c:v>
                </c:pt>
                <c:pt idx="43">
                  <c:v>44年</c:v>
                </c:pt>
                <c:pt idx="44">
                  <c:v>45年</c:v>
                </c:pt>
                <c:pt idx="45">
                  <c:v>46年</c:v>
                </c:pt>
                <c:pt idx="46">
                  <c:v>47年</c:v>
                </c:pt>
                <c:pt idx="47">
                  <c:v>48年</c:v>
                </c:pt>
                <c:pt idx="48">
                  <c:v>49年</c:v>
                </c:pt>
                <c:pt idx="49">
                  <c:v>50年</c:v>
                </c:pt>
              </c:strCache>
            </c:strRef>
          </c:cat>
          <c:val>
            <c:numRef>
              <c:f>計算用3!$P$2:$P$51</c:f>
              <c:numCache>
                <c:formatCode>#,##0</c:formatCode>
                <c:ptCount val="50"/>
                <c:pt idx="0">
                  <c:v>4446.2181132999995</c:v>
                </c:pt>
                <c:pt idx="1">
                  <c:v>4454.3830100333334</c:v>
                </c:pt>
                <c:pt idx="2">
                  <c:v>4462.6020216666666</c:v>
                </c:pt>
                <c:pt idx="3">
                  <c:v>4470.8750466000001</c:v>
                </c:pt>
                <c:pt idx="4">
                  <c:v>4479.2027119333334</c:v>
                </c:pt>
                <c:pt idx="5">
                  <c:v>4487.5851769666669</c:v>
                </c:pt>
                <c:pt idx="6">
                  <c:v>4496.0228318000009</c:v>
                </c:pt>
                <c:pt idx="7">
                  <c:v>4504.5162959333338</c:v>
                </c:pt>
                <c:pt idx="8">
                  <c:v>4513.0654238666666</c:v>
                </c:pt>
                <c:pt idx="9">
                  <c:v>4521.6710981000006</c:v>
                </c:pt>
                <c:pt idx="10">
                  <c:v>4532.7655576555553</c:v>
                </c:pt>
                <c:pt idx="11">
                  <c:v>4543.9170286111112</c:v>
                </c:pt>
                <c:pt idx="12">
                  <c:v>4555.1258914666669</c:v>
                </c:pt>
                <c:pt idx="13">
                  <c:v>4583.8626470222225</c:v>
                </c:pt>
                <c:pt idx="14">
                  <c:v>4611.8785025777779</c:v>
                </c:pt>
                <c:pt idx="15">
                  <c:v>4639.1688581333337</c:v>
                </c:pt>
                <c:pt idx="16">
                  <c:v>4665.7291136888889</c:v>
                </c:pt>
                <c:pt idx="17">
                  <c:v>4691.5543692444444</c:v>
                </c:pt>
                <c:pt idx="18">
                  <c:v>4716.6398248000005</c:v>
                </c:pt>
                <c:pt idx="19">
                  <c:v>4743.8553248000007</c:v>
                </c:pt>
                <c:pt idx="20">
                  <c:v>4770.3213248000002</c:v>
                </c:pt>
                <c:pt idx="21">
                  <c:v>4796.0329247999998</c:v>
                </c:pt>
                <c:pt idx="22">
                  <c:v>4820.9853247999999</c:v>
                </c:pt>
                <c:pt idx="23">
                  <c:v>4845.1734248000002</c:v>
                </c:pt>
                <c:pt idx="24">
                  <c:v>4868.5924248000001</c:v>
                </c:pt>
                <c:pt idx="25">
                  <c:v>4891.2373248000004</c:v>
                </c:pt>
                <c:pt idx="26">
                  <c:v>4913.1030248000006</c:v>
                </c:pt>
                <c:pt idx="27">
                  <c:v>4934.1844247999998</c:v>
                </c:pt>
                <c:pt idx="28">
                  <c:v>4954.4764248000001</c:v>
                </c:pt>
                <c:pt idx="29">
                  <c:v>4973.9738248000003</c:v>
                </c:pt>
                <c:pt idx="30">
                  <c:v>4992.6714247999998</c:v>
                </c:pt>
                <c:pt idx="31">
                  <c:v>5010.5642248000004</c:v>
                </c:pt>
                <c:pt idx="32">
                  <c:v>5027.6467247999999</c:v>
                </c:pt>
                <c:pt idx="33">
                  <c:v>5043.9137248000006</c:v>
                </c:pt>
                <c:pt idx="34">
                  <c:v>5059.359924800001</c:v>
                </c:pt>
                <c:pt idx="35">
                  <c:v>5074.3367248000004</c:v>
                </c:pt>
                <c:pt idx="36">
                  <c:v>5089.3367248000004</c:v>
                </c:pt>
                <c:pt idx="37">
                  <c:v>5104.3367248000004</c:v>
                </c:pt>
                <c:pt idx="38">
                  <c:v>5119.3367248000004</c:v>
                </c:pt>
                <c:pt idx="39">
                  <c:v>5134.3367248000004</c:v>
                </c:pt>
                <c:pt idx="40">
                  <c:v>5149.3367248000004</c:v>
                </c:pt>
                <c:pt idx="41">
                  <c:v>5164.3367248000004</c:v>
                </c:pt>
                <c:pt idx="42">
                  <c:v>5179.3367248000004</c:v>
                </c:pt>
                <c:pt idx="43">
                  <c:v>5194.3367248000004</c:v>
                </c:pt>
                <c:pt idx="44">
                  <c:v>5209.3367248000004</c:v>
                </c:pt>
                <c:pt idx="45">
                  <c:v>5224.3367248000004</c:v>
                </c:pt>
                <c:pt idx="46">
                  <c:v>5239.3367248000004</c:v>
                </c:pt>
                <c:pt idx="47">
                  <c:v>5254.3367248000004</c:v>
                </c:pt>
                <c:pt idx="48">
                  <c:v>5269.3367248000004</c:v>
                </c:pt>
                <c:pt idx="49">
                  <c:v>5284.3367248000004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EC-4EFB-9EA4-000640B170F9}"/>
            </c:ext>
          </c:extLst>
        </c:ser>
        <c:ser>
          <c:idx val="1"/>
          <c:order val="1"/>
          <c:tx>
            <c:v>賃貸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計算用3!$Q$2:$Q$51</c:f>
              <c:numCache>
                <c:formatCode>#,##0</c:formatCode>
                <c:ptCount val="50"/>
                <c:pt idx="0">
                  <c:v>195</c:v>
                </c:pt>
                <c:pt idx="1">
                  <c:v>325</c:v>
                </c:pt>
                <c:pt idx="2">
                  <c:v>445</c:v>
                </c:pt>
                <c:pt idx="3">
                  <c:v>575</c:v>
                </c:pt>
                <c:pt idx="4">
                  <c:v>695</c:v>
                </c:pt>
                <c:pt idx="5">
                  <c:v>815</c:v>
                </c:pt>
                <c:pt idx="6">
                  <c:v>935</c:v>
                </c:pt>
                <c:pt idx="7">
                  <c:v>1065</c:v>
                </c:pt>
                <c:pt idx="8">
                  <c:v>1185</c:v>
                </c:pt>
                <c:pt idx="9">
                  <c:v>1315</c:v>
                </c:pt>
                <c:pt idx="10">
                  <c:v>1435</c:v>
                </c:pt>
                <c:pt idx="11">
                  <c:v>1565</c:v>
                </c:pt>
                <c:pt idx="12">
                  <c:v>1685</c:v>
                </c:pt>
                <c:pt idx="13">
                  <c:v>1815</c:v>
                </c:pt>
                <c:pt idx="14">
                  <c:v>1935</c:v>
                </c:pt>
                <c:pt idx="15">
                  <c:v>2130</c:v>
                </c:pt>
                <c:pt idx="16">
                  <c:v>2250</c:v>
                </c:pt>
                <c:pt idx="17">
                  <c:v>2380</c:v>
                </c:pt>
                <c:pt idx="18">
                  <c:v>2500</c:v>
                </c:pt>
                <c:pt idx="19">
                  <c:v>2630</c:v>
                </c:pt>
                <c:pt idx="20">
                  <c:v>2750</c:v>
                </c:pt>
                <c:pt idx="21">
                  <c:v>2880</c:v>
                </c:pt>
                <c:pt idx="22">
                  <c:v>3000</c:v>
                </c:pt>
                <c:pt idx="23">
                  <c:v>3130</c:v>
                </c:pt>
                <c:pt idx="24">
                  <c:v>3250</c:v>
                </c:pt>
                <c:pt idx="25">
                  <c:v>3380</c:v>
                </c:pt>
                <c:pt idx="26">
                  <c:v>3500</c:v>
                </c:pt>
                <c:pt idx="27">
                  <c:v>3630</c:v>
                </c:pt>
                <c:pt idx="28">
                  <c:v>3750</c:v>
                </c:pt>
                <c:pt idx="29">
                  <c:v>3880</c:v>
                </c:pt>
                <c:pt idx="30">
                  <c:v>4065</c:v>
                </c:pt>
                <c:pt idx="31">
                  <c:v>4195</c:v>
                </c:pt>
                <c:pt idx="32">
                  <c:v>4315</c:v>
                </c:pt>
                <c:pt idx="33">
                  <c:v>4445</c:v>
                </c:pt>
                <c:pt idx="34">
                  <c:v>4565</c:v>
                </c:pt>
                <c:pt idx="35">
                  <c:v>4695</c:v>
                </c:pt>
                <c:pt idx="36">
                  <c:v>4815</c:v>
                </c:pt>
                <c:pt idx="37">
                  <c:v>4945</c:v>
                </c:pt>
                <c:pt idx="38">
                  <c:v>5065</c:v>
                </c:pt>
                <c:pt idx="39">
                  <c:v>5195</c:v>
                </c:pt>
                <c:pt idx="40">
                  <c:v>5315</c:v>
                </c:pt>
                <c:pt idx="41">
                  <c:v>5445</c:v>
                </c:pt>
                <c:pt idx="42">
                  <c:v>5565</c:v>
                </c:pt>
                <c:pt idx="43">
                  <c:v>5695</c:v>
                </c:pt>
                <c:pt idx="44">
                  <c:v>5815</c:v>
                </c:pt>
                <c:pt idx="45">
                  <c:v>6010</c:v>
                </c:pt>
                <c:pt idx="46">
                  <c:v>6130</c:v>
                </c:pt>
                <c:pt idx="47">
                  <c:v>6260</c:v>
                </c:pt>
                <c:pt idx="48">
                  <c:v>6380</c:v>
                </c:pt>
                <c:pt idx="49">
                  <c:v>6510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EC-4EFB-9EA4-000640B1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544336"/>
        <c:axId val="1651544752"/>
      </c:lineChart>
      <c:catAx>
        <c:axId val="1651544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2000"/>
                  <a:t>居住年数</a:t>
                </a:r>
              </a:p>
            </c:rich>
          </c:tx>
          <c:layout>
            <c:manualLayout>
              <c:xMode val="edge"/>
              <c:yMode val="edge"/>
              <c:x val="0.44500405642321739"/>
              <c:y val="0.850743275992939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1544752"/>
        <c:crosses val="autoZero"/>
        <c:auto val="1"/>
        <c:lblAlgn val="ctr"/>
        <c:lblOffset val="100"/>
        <c:noMultiLvlLbl val="0"/>
      </c:catAx>
      <c:valAx>
        <c:axId val="165154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2000"/>
                  <a:t>合計金額</a:t>
                </a:r>
              </a:p>
            </c:rich>
          </c:tx>
          <c:layout>
            <c:manualLayout>
              <c:xMode val="edge"/>
              <c:yMode val="edge"/>
              <c:x val="1.6933364942281225E-3"/>
              <c:y val="0.30676333141284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154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0.330848893321667"/>
          <c:y val="0.91678395383503897"/>
          <c:w val="0.36935812988270422"/>
          <c:h val="8.2467737270886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L$1" lockText="1" noThreeD="1"/>
</file>

<file path=xl/ctrlProps/ctrlProp2.xml><?xml version="1.0" encoding="utf-8"?>
<formControlPr xmlns="http://schemas.microsoft.com/office/spreadsheetml/2009/9/main" objectType="CheckBox" fmlaLink="$L$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4761</xdr:colOff>
      <xdr:row>0</xdr:row>
      <xdr:rowOff>0</xdr:rowOff>
    </xdr:from>
    <xdr:to>
      <xdr:col>19</xdr:col>
      <xdr:colOff>523875</xdr:colOff>
      <xdr:row>25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7620</xdr:rowOff>
        </xdr:from>
        <xdr:to>
          <xdr:col>9</xdr:col>
          <xdr:colOff>0</xdr:colOff>
          <xdr:row>1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670558</xdr:colOff>
      <xdr:row>0</xdr:row>
      <xdr:rowOff>0</xdr:rowOff>
    </xdr:from>
    <xdr:to>
      <xdr:col>25</xdr:col>
      <xdr:colOff>662940</xdr:colOff>
      <xdr:row>19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utinokati.com/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9C33A-CD19-478A-87E3-C5150EE3E6CF}">
  <dimension ref="A1:X423"/>
  <sheetViews>
    <sheetView tabSelected="1" zoomScaleNormal="100" workbookViewId="0"/>
  </sheetViews>
  <sheetFormatPr defaultRowHeight="18" x14ac:dyDescent="0.45"/>
  <cols>
    <col min="1" max="1" width="0.8984375" customWidth="1"/>
    <col min="2" max="3" width="1.59765625" customWidth="1"/>
    <col min="4" max="4" width="10.59765625" customWidth="1"/>
    <col min="5" max="5" width="11.19921875" customWidth="1"/>
    <col min="6" max="6" width="11.8984375" customWidth="1"/>
    <col min="7" max="7" width="9" customWidth="1"/>
    <col min="8" max="8" width="24" customWidth="1"/>
    <col min="9" max="9" width="11.19921875" customWidth="1"/>
    <col min="11" max="11" width="10.5" bestFit="1" customWidth="1"/>
    <col min="12" max="12" width="13.09765625" customWidth="1"/>
    <col min="13" max="13" width="11.3984375" customWidth="1"/>
    <col min="14" max="14" width="12.09765625" customWidth="1"/>
    <col min="16" max="16" width="12.69921875" customWidth="1"/>
    <col min="17" max="17" width="5.69921875" customWidth="1"/>
    <col min="18" max="19" width="12.3984375" customWidth="1"/>
    <col min="20" max="20" width="13" customWidth="1"/>
    <col min="21" max="21" width="12.69921875" customWidth="1"/>
    <col min="22" max="22" width="5.3984375" customWidth="1"/>
    <col min="24" max="24" width="11.5" customWidth="1"/>
  </cols>
  <sheetData>
    <row r="1" spans="1:24" x14ac:dyDescent="0.45">
      <c r="A1" s="3"/>
      <c r="B1" s="3"/>
      <c r="C1" s="3"/>
      <c r="D1" s="3"/>
      <c r="E1" s="3"/>
      <c r="F1" s="3"/>
      <c r="G1" s="3"/>
      <c r="H1" s="4" t="s">
        <v>574</v>
      </c>
      <c r="I1" s="3"/>
      <c r="J1" s="3"/>
      <c r="K1" s="3"/>
      <c r="L1" t="b">
        <v>1</v>
      </c>
      <c r="R1" s="21"/>
    </row>
    <row r="2" spans="1:24" ht="18.600000000000001" thickBot="1" x14ac:dyDescent="0.5">
      <c r="A2" s="3"/>
      <c r="B2" s="10" t="s">
        <v>4</v>
      </c>
      <c r="C2" s="3"/>
      <c r="D2" s="3"/>
      <c r="E2" s="3"/>
      <c r="F2" s="4" t="s">
        <v>1</v>
      </c>
      <c r="G2" s="4"/>
      <c r="H2" s="4" t="s">
        <v>575</v>
      </c>
      <c r="I2" s="3"/>
      <c r="J2" s="3"/>
      <c r="K2" s="53"/>
      <c r="L2" s="22" t="b">
        <v>0</v>
      </c>
      <c r="M2" s="1"/>
      <c r="N2" s="1"/>
      <c r="O2" s="1"/>
      <c r="P2" s="1"/>
      <c r="R2" s="1"/>
      <c r="S2" s="1"/>
      <c r="T2" s="1"/>
      <c r="U2" s="1"/>
      <c r="W2" s="1"/>
      <c r="X2" s="1"/>
    </row>
    <row r="3" spans="1:24" ht="18.600000000000001" thickBot="1" x14ac:dyDescent="0.5">
      <c r="A3" s="3"/>
      <c r="B3" s="84" t="s">
        <v>5</v>
      </c>
      <c r="C3" s="84"/>
      <c r="D3" s="84"/>
      <c r="E3" s="84"/>
      <c r="F3" s="45" t="s">
        <v>0</v>
      </c>
      <c r="G3" s="3"/>
      <c r="H3" s="44" t="s">
        <v>508</v>
      </c>
      <c r="I3" s="39">
        <v>10</v>
      </c>
      <c r="J3" s="3" t="s">
        <v>509</v>
      </c>
      <c r="K3" s="3"/>
      <c r="L3" s="24"/>
      <c r="M3" s="23"/>
      <c r="N3" s="23"/>
      <c r="O3" s="23"/>
      <c r="P3" s="23"/>
      <c r="R3" s="2"/>
      <c r="S3" s="13"/>
      <c r="T3" s="16"/>
      <c r="U3" s="16"/>
      <c r="W3" s="2"/>
      <c r="X3" s="17"/>
    </row>
    <row r="4" spans="1:24" ht="18.600000000000001" thickBot="1" x14ac:dyDescent="0.5">
      <c r="A4" s="3"/>
      <c r="B4" s="85"/>
      <c r="C4" s="87"/>
      <c r="D4" s="89" t="s">
        <v>3</v>
      </c>
      <c r="E4" s="90"/>
      <c r="F4" s="47">
        <f>IF(I7="",0,I7)</f>
        <v>0</v>
      </c>
      <c r="G4" s="3"/>
      <c r="H4" s="46" t="s">
        <v>464</v>
      </c>
      <c r="I4" s="37">
        <v>3980</v>
      </c>
      <c r="J4" s="3" t="s">
        <v>465</v>
      </c>
      <c r="K4" s="3"/>
      <c r="L4" s="24"/>
      <c r="M4" s="23"/>
      <c r="N4" s="23"/>
      <c r="O4" s="23"/>
      <c r="P4" s="23"/>
      <c r="R4" s="2"/>
      <c r="S4" s="13"/>
      <c r="T4" s="16"/>
      <c r="U4" s="16"/>
      <c r="W4" s="2"/>
      <c r="X4" s="17"/>
    </row>
    <row r="5" spans="1:24" ht="18.600000000000001" thickBot="1" x14ac:dyDescent="0.5">
      <c r="A5" s="3"/>
      <c r="B5" s="86"/>
      <c r="C5" s="88"/>
      <c r="D5" s="89" t="s">
        <v>6</v>
      </c>
      <c r="E5" s="90"/>
      <c r="F5" s="49">
        <f>IF(I13="",I8*0.06,I13)</f>
        <v>238.79999999999998</v>
      </c>
      <c r="G5" s="3"/>
      <c r="H5" s="48" t="s">
        <v>466</v>
      </c>
      <c r="I5" s="26">
        <v>0.65</v>
      </c>
      <c r="J5" s="3" t="s">
        <v>469</v>
      </c>
      <c r="K5" s="3"/>
      <c r="L5" s="24"/>
      <c r="M5" s="23"/>
      <c r="N5" s="23"/>
      <c r="O5" s="23"/>
      <c r="P5" s="23"/>
      <c r="R5" s="2"/>
      <c r="S5" s="13"/>
      <c r="T5" s="16"/>
      <c r="U5" s="16"/>
      <c r="W5" s="2"/>
      <c r="X5" s="17"/>
    </row>
    <row r="6" spans="1:24" ht="18.600000000000001" thickBot="1" x14ac:dyDescent="0.5">
      <c r="A6" s="3"/>
      <c r="B6" s="86"/>
      <c r="C6" s="91" t="s">
        <v>7</v>
      </c>
      <c r="D6" s="92"/>
      <c r="E6" s="92"/>
      <c r="F6" s="49">
        <f>SUM(F4:F5)</f>
        <v>238.79999999999998</v>
      </c>
      <c r="G6" s="3"/>
      <c r="H6" s="48" t="s">
        <v>467</v>
      </c>
      <c r="I6" s="27">
        <v>35</v>
      </c>
      <c r="J6" s="3" t="s">
        <v>468</v>
      </c>
      <c r="K6" s="3"/>
      <c r="L6" s="24"/>
      <c r="M6" s="23"/>
      <c r="N6" s="23"/>
      <c r="O6" s="23"/>
      <c r="P6" s="23"/>
      <c r="R6" s="2"/>
      <c r="S6" s="13"/>
      <c r="T6" s="16"/>
      <c r="U6" s="16"/>
      <c r="W6" s="2"/>
      <c r="X6" s="17"/>
    </row>
    <row r="7" spans="1:24" ht="18.600000000000001" thickBot="1" x14ac:dyDescent="0.5">
      <c r="A7" s="3"/>
      <c r="B7" s="86"/>
      <c r="C7" s="7"/>
      <c r="D7" s="9" t="s">
        <v>8</v>
      </c>
      <c r="E7" s="9"/>
      <c r="F7" s="49">
        <f>IF(L1=TRUE,(_xlfn.SWITCH(I3,1,計算用1!$U$3/10000,2,計算用1!$U$4/10000,3,計算用1!$U$5/10000,4,計算用1!$U$6/10000,5,計算用1!$U$7/10000,6,計算用1!$U$8/10000,7,計算用1!$U$9/10000,8,計算用1!$U$10/10000,9,計算用1!$U$11/10000,10,計算用1!$U$12/10000,11,計算用1!$U$13/10000,12,計算用1!$U$14/10000,13,計算用1!$U$15/10000,14,計算用1!$U$16/10000,15,計算用1!$U$17/10000,16,計算用1!$U$18/10000,17,計算用1!$U$19/10000,18,計算用1!$U$20/10000,19,計算用1!$U$21/10000,20,計算用1!$U$22/10000,21,計算用1!$U$23/10000,22,計算用1!$U$24/10000,23,計算用1!$U$25/10000,24,計算用1!$U$26/10000,25,計算用1!$U$27/10000,26,計算用1!$U$28/10000,27,計算用1!$U$29/10000,28,計算用1!$U$30/10000,29,計算用1!$U$31/10000,30,計算用1!$U$32/10000,31,計算用1!$U$33/10000,32,計算用1!$U$34/10000,33,計算用1!$U$35/10000,34,計算用1!$U$36/10000,35,計算用1!$U$37/10000,36,計算用1!$U$38/10000,37,計算用1!$U$39/10000,38,計算用1!$U$40/10000,39,計算用1!$U$41/10000,40,計算用1!$U$42/10000,41,計算用1!$U$43/10000,42,計算用1!$U$44/10000,43,計算用1!$U$45/10000,44,計算用1!$U$46/10000,45,計算用1!$U$47/10000,46,計算用1!$U$48/10000,47,計算用1!$U$49/10000,48,計算用1!$U$50/10000,49,計算用1!$U$51/10000,50,計算用1!$U$52/10000,"該当なし")),(_xlfn.SWITCH(I3,1,計算用2!$U$3/10000,2,計算用2!$U$4/10000,3,計算用2!$U$5/10000,4,計算用2!$U$6/10000,5,計算用2!$U$7/10000,6,計算用2!$U$8/10000,7,計算用2!$U$9/10000,8,計算用2!$U$10/10000,9,計算用2!$U$11/10000,10,計算用2!$U$12/10000,11,計算用2!$U$13/10000,12,計算用2!$U$14/10000,13,計算用2!$U$15/10000,14,計算用2!$U$16/10000,15,計算用2!$U$17/10000,16,計算用2!$U$18/10000,17,計算用2!$U$19/10000,18,計算用2!$U$20/10000,19,計算用2!$U$21/10000,20,計算用2!$U$22/10000,21,計算用2!$U$23/10000,22,計算用2!$U$24/10000,23,計算用2!$U$25/10000,24,計算用2!$U$26/10000,25,計算用2!$U$27/10000,26,計算用2!$U$28/10000,27,計算用2!$U$29/10000,28,計算用2!$U$30/10000,29,計算用2!$U$31/10000,30,計算用2!$U$32/10000,31,計算用2!$U$33/10000,32,計算用2!$U$34/10000,33,計算用2!$U$35/10000,34,計算用2!$U$36/10000,35,計算用2!$U$37/10000,36,計算用2!$U$38/10000,37,計算用2!$U$39/10000,38,計算用2!$U$40/10000,39,計算用2!$U$41/10000,40,計算用2!$U$42/10000,41,計算用2!$U$43/10000,42,計算用2!$U$44/10000,43,計算用2!$U$45/10000,44,計算用2!$U$46/10000,45,計算用2!$U$47/10000,46,計算用2!$U$48/10000,47,計算用2!$U$49/10000,48,計算用2!$U$50/10000,49,計算用2!$U$51/10000,50,計算用2!$U$52/10000,"該当なし")))</f>
        <v>1271.6880000000001</v>
      </c>
      <c r="G7" s="3"/>
      <c r="H7" s="50" t="s">
        <v>3</v>
      </c>
      <c r="I7" s="31">
        <v>0</v>
      </c>
      <c r="J7" s="3" t="s">
        <v>465</v>
      </c>
      <c r="K7" s="3"/>
      <c r="L7" s="24"/>
      <c r="M7" s="23"/>
      <c r="N7" s="23"/>
      <c r="O7" s="23"/>
      <c r="P7" s="23"/>
      <c r="R7" s="2"/>
      <c r="S7" s="13"/>
      <c r="T7" s="16"/>
      <c r="U7" s="16"/>
      <c r="W7" s="2"/>
      <c r="X7" s="17"/>
    </row>
    <row r="8" spans="1:24" ht="18.600000000000001" thickBot="1" x14ac:dyDescent="0.5">
      <c r="A8" s="3"/>
      <c r="B8" s="86"/>
      <c r="C8" s="8"/>
      <c r="D8" s="89" t="s">
        <v>2</v>
      </c>
      <c r="E8" s="90"/>
      <c r="F8" s="49">
        <f>IF(I14="",I3*15,I14)</f>
        <v>150</v>
      </c>
      <c r="G8" s="3"/>
      <c r="H8" s="48" t="s">
        <v>682</v>
      </c>
      <c r="I8" s="35">
        <v>3980</v>
      </c>
      <c r="J8" s="3" t="s">
        <v>465</v>
      </c>
      <c r="K8" s="3"/>
      <c r="L8" s="24"/>
      <c r="M8" s="23"/>
      <c r="N8" s="23"/>
      <c r="O8" s="23"/>
      <c r="P8" s="23"/>
      <c r="R8" s="2"/>
      <c r="S8" s="13"/>
      <c r="T8" s="16"/>
      <c r="U8" s="16"/>
      <c r="W8" s="2"/>
      <c r="X8" s="17"/>
    </row>
    <row r="9" spans="1:24" ht="18.600000000000001" thickBot="1" x14ac:dyDescent="0.5">
      <c r="A9" s="3"/>
      <c r="B9" s="86"/>
      <c r="C9" s="8"/>
      <c r="D9" s="93" t="s">
        <v>9</v>
      </c>
      <c r="E9" s="93"/>
      <c r="F9" s="49">
        <f>IF(L1=TRUE,_xlfn.SWITCH(I3,1,-計算用1!T3/10000,2,-計算用1!T4/10000,3,-計算用1!T5/10000,4,-計算用1!T6/10000,5,-計算用1!T7/10000,6,-計算用1!T8/10000,7,-計算用1!T9/10000,8,-計算用1!T10/10000,9,-計算用1!T11/10000,10,-計算用1!T12/10000,11,-計算用1!T13/10000,12,-計算用1!T14/10000,13,-計算用1!T15/10000,14,-計算用1!T16/10000,15,-計算用1!T17/10000,16,-計算用1!T18/10000,17,-計算用1!T19/10000,18,-計算用1!T20/10000,19,-計算用1!T21/10000,20,-計算用1!T22/10000,21,-計算用1!T23/10000,22,-計算用1!T24/10000,23,-計算用1!T25/10000,24,-計算用1!T26/10000,25,-計算用1!T27/10000,26,-計算用1!T28/10000,27,-計算用1!T29/10000,28,-計算用1!T30/10000,29,-計算用1!T31/10000,30,-計算用1!T32/10000,31,-計算用1!T33/10000,32,-計算用1!T34/10000,33,-計算用1!T35/10000,34,-計算用1!T36/10000,35,-計算用1!T37/10000,36,-計算用1!T38/10000,37,-計算用1!T39/10000,38,-計算用1!T40/10000,39,-計算用1!T41/10000,40,-計算用1!T42/10000,41,-計算用1!T43/10000,42,-計算用1!T44/10000,43,-計算用1!T45/10000,44,-計算用1!T46/10000,45,-計算用1!T47/10000,46,-計算用1!T48/10000,47,-計算用1!T49/10000,48,-計算用1!T50/10000,49,-計算用1!T51/10000,50,-計算用1!T52/10000,"該当なし"),_xlfn.SWITCH(I3,1,-計算用2!T3/10000,2,-計算用2!T4/10000,3,-計算用2!T5/10000,4,-計算用2!T6/10000,5,-計算用2!T7/10000,6,-計算用2!T8/10000,7,-計算用2!T9/10000,8,-計算用2!T10/10000,9,-計算用2!T11/10000,10,-計算用2!T12/10000,11,-計算用2!T13/10000,12,-計算用2!T14/10000,13,-計算用2!T15/10000,14,-計算用2!T16/10000,15,-計算用2!T17/10000,16,-計算用2!T18/10000,17,-計算用2!T19/10000,18,-計算用2!T20/10000,19,-計算用2!T21/10000,20,-計算用2!T22/10000,21,-計算用2!T23/10000,22,-計算用2!T24/10000,23,-計算用2!T25/10000,24,-計算用2!T26/10000,25,-計算用2!T27/10000,26,-計算用2!T28/10000,27,-計算用2!T29/10000,28,-計算用2!T30/10000,29,-計算用2!T31/10000,30,-計算用2!T32/10000,31,-計算用2!T33/10000,32,-計算用2!T34/10000,33,-計算用2!T35/10000,34,-計算用2!T36/10000,35,-計算用2!T37/10000,36,-計算用2!T38/10000,37,-計算用2!T39/10000,38,-計算用2!T40/10000,39,-計算用2!T41/10000,40,-計算用2!T42/10000,41,-計算用2!T43/10000,42,-計算用2!T44/10000,43,-計算用2!T45/10000,44,-計算用2!T46/10000,45,-計算用2!T47/10000,46,-計算用2!T48/10000,47,-計算用2!T49/10000,48,-計算用2!T50/10000,49,-計算用2!T51/10000,50,-計算用2!T52/10000,"該当なし"))</f>
        <v>-238.70820189999998</v>
      </c>
      <c r="G9" s="3"/>
      <c r="H9" s="48" t="s">
        <v>683</v>
      </c>
      <c r="I9" s="35">
        <v>76</v>
      </c>
      <c r="J9" s="3" t="s">
        <v>469</v>
      </c>
      <c r="K9" s="3"/>
      <c r="L9" s="24"/>
      <c r="M9" s="23"/>
      <c r="N9" s="23"/>
      <c r="O9" s="23"/>
      <c r="P9" s="23"/>
      <c r="R9" s="2"/>
      <c r="S9" s="13"/>
      <c r="T9" s="16"/>
      <c r="U9" s="16"/>
      <c r="W9" s="2"/>
      <c r="X9" s="17"/>
    </row>
    <row r="10" spans="1:24" ht="18.600000000000001" thickBot="1" x14ac:dyDescent="0.5">
      <c r="A10" s="3"/>
      <c r="B10" s="86"/>
      <c r="C10" s="8"/>
      <c r="D10" s="94" t="s">
        <v>10</v>
      </c>
      <c r="E10" s="95"/>
      <c r="F10" s="49">
        <f>IF(I12="",計算用1!$AA$3,I3*I12)</f>
        <v>0</v>
      </c>
      <c r="G10" s="3"/>
      <c r="H10" s="48" t="s">
        <v>684</v>
      </c>
      <c r="I10" s="35">
        <v>63</v>
      </c>
      <c r="J10" s="3" t="s">
        <v>469</v>
      </c>
      <c r="K10" s="3"/>
      <c r="L10" s="24"/>
      <c r="M10" s="23"/>
      <c r="N10" s="23"/>
      <c r="O10" s="23"/>
      <c r="P10" s="23"/>
      <c r="R10" s="2"/>
      <c r="S10" s="13"/>
      <c r="T10" s="16"/>
      <c r="U10" s="16"/>
      <c r="W10" s="2"/>
      <c r="X10" s="17"/>
    </row>
    <row r="11" spans="1:24" ht="18.600000000000001" thickBot="1" x14ac:dyDescent="0.5">
      <c r="A11" s="3"/>
      <c r="B11" s="86"/>
      <c r="C11" s="91" t="s">
        <v>11</v>
      </c>
      <c r="D11" s="92"/>
      <c r="E11" s="92"/>
      <c r="F11" s="49">
        <f>SUM(F7:F10)</f>
        <v>1182.9797981000002</v>
      </c>
      <c r="G11" s="3"/>
      <c r="H11" s="48" t="s">
        <v>685</v>
      </c>
      <c r="I11" s="35">
        <v>63</v>
      </c>
      <c r="J11" s="3" t="s">
        <v>469</v>
      </c>
      <c r="K11" s="3"/>
      <c r="L11" s="24"/>
      <c r="M11" s="23"/>
      <c r="N11" s="23"/>
      <c r="O11" s="23"/>
      <c r="P11" s="23"/>
      <c r="R11" s="2"/>
      <c r="S11" s="13"/>
      <c r="T11" s="16"/>
      <c r="U11" s="16"/>
      <c r="W11" s="2"/>
      <c r="X11" s="17"/>
    </row>
    <row r="12" spans="1:24" ht="18.600000000000001" thickBot="1" x14ac:dyDescent="0.5">
      <c r="A12" s="3"/>
      <c r="B12" s="86"/>
      <c r="C12" s="7"/>
      <c r="D12" s="89" t="s">
        <v>12</v>
      </c>
      <c r="E12" s="90"/>
      <c r="F12" s="49">
        <f>IF(L1=TRUE,_xlfn.SWITCH(I3,1,計算用1!$R$3/10000,2,計算用1!$R$4/10000,3,計算用1!$R$5/10000,4,計算用1!$R$6/10000,5,計算用1!$R$7/10000,6,計算用1!$R$8/10000,7,計算用1!$R$9/10000,8,計算用1!$R$10/10000,9,計算用1!$R$11/10000,10,計算用1!$R$12/10000,11,計算用1!$R$13/10000,12,計算用1!$R$14/10000,13,計算用1!$R$15/10000,14,計算用1!$R$16/10000,15,計算用1!$R$17/10000,16,計算用1!$R$18/10000,17,計算用1!$R$19/10000,18,計算用1!$R$20/10000,19,計算用1!$R$21/10000,20,計算用1!$R$22/10000,21,計算用1!$R$23/10000,22,計算用1!$R$24/10000,23,計算用1!$R$25/10000,24,計算用1!$R$26/10000,25,計算用1!$R$27/10000,26,計算用1!$R$28/10000,27,計算用1!$R$29/10000,28,計算用1!$R$30/10000,29,計算用1!$R$31/10000,30,計算用1!$R$32/10000,31,計算用1!$R$33/10000,32,計算用1!$R$34/10000,33,計算用1!$R$35/10000,34,計算用1!$R$36/10000,35,計算用1!$R$37/10000,36,計算用1!$R$38/10000,37,計算用1!$R$39/10000,38,計算用1!$R$40/10000,39,計算用1!$R$41/10000,40,計算用1!$R$42/10000,41,計算用1!$R$43/10000,42,計算用1!$R$44/10000,43,計算用1!$R$45/10000,44,計算用1!$R$46/10000,45,計算用1!$R$47/10000,46,計算用1!$R$48/10000,47,計算用1!$R$49/10000,48,計算用1!$R$50/10000,49,計算用1!$R$51/10000,50,計算用1!$R$52/10000,"該当なし"),_xlfn.SWITCH(I3,1,計算用2!$R$3/10000,2,計算用2!$R$4/10000,3,計算用2!$R$5/10000,4,計算用2!$R$6/10000,5,計算用2!$R$7/10000,6,計算用2!$R$8/10000,7,計算用2!$R$9/10000,8,計算用2!$R$10/10000,9,計算用2!$R$11/10000,10,計算用2!$R$12/10000,11,計算用2!$R$13/10000,12,計算用2!$R$14/10000,13,計算用2!$R$15/10000,14,計算用2!$R$16/10000,15,計算用2!$R$17/10000,16,計算用2!$R$18/10000,17,計算用2!$R$19/10000,18,計算用2!$R$20/10000,19,計算用2!$R$21/10000,20,計算用2!$R$22/10000,21,計算用2!$R$23/10000,22,計算用2!$R$24/10000,23,計算用2!$R$25/10000,24,計算用2!$R$26/10000,25,計算用2!$R$27/10000,26,計算用2!$R$28/10000,27,計算用2!$R$29/10000,28,計算用2!$R$30/10000,29,計算用2!$R$31/10000,30,計算用2!$R$32/10000,31,計算用2!$R$33/10000,32,計算用2!$R$34/10000,33,計算用2!$R$35/10000,34,計算用2!$R$36/10000,35,計算用2!$R$37/10000,36,計算用2!$R$38/10000,37,計算用2!$R$39/10000,38,計算用2!$R$40/10000,39,計算用2!$R$41/10000,40,計算用2!$R$42/10000,41,計算用2!$R$43/10000,42,計算用2!$R$44/10000,43,計算用2!$R$45/10000,44,計算用2!$R$46/10000,45,計算用2!$R$47/10000,46,計算用2!$R$48/10000,47,計算用2!$R$49/10000,48,計算用2!$R$50/10000,49,計算用2!$R$51/10000,50,計算用2!$R$52/10000,"該当なし"))</f>
        <v>2933.6513</v>
      </c>
      <c r="G12" s="3"/>
      <c r="H12" s="55" t="s">
        <v>569</v>
      </c>
      <c r="I12" s="80"/>
      <c r="J12" s="3" t="s">
        <v>465</v>
      </c>
      <c r="K12" s="3"/>
      <c r="L12" s="24"/>
      <c r="M12" s="23"/>
      <c r="N12" s="23"/>
      <c r="O12" s="23"/>
      <c r="P12" s="23"/>
      <c r="R12" s="2"/>
      <c r="S12" s="13"/>
      <c r="T12" s="16"/>
      <c r="U12" s="16"/>
      <c r="W12" s="2"/>
      <c r="X12" s="17"/>
    </row>
    <row r="13" spans="1:24" ht="18.600000000000001" thickBot="1" x14ac:dyDescent="0.5">
      <c r="A13" s="3"/>
      <c r="B13" s="86"/>
      <c r="C13" s="8"/>
      <c r="D13" s="89" t="s">
        <v>13</v>
      </c>
      <c r="E13" s="90"/>
      <c r="F13" s="49">
        <f>_xlfn.IFS(I15="",_xlfn.SWITCH(I3,1,計算用1!$AH$3,2,計算用1!$AH$4,3,計算用1!$AH$5,4,計算用1!$AH$6,5,計算用1!$AH$7,6,計算用1!$AH$8,7,計算用1!$AH$9,8,計算用1!$AH$10,9,計算用1!$AH$11,10,計算用1!$AH$12,11,計算用1!$AH$13,12,計算用1!$AH$14,13,計算用1!$AH$15,14,計算用1!$AH$16,15,計算用1!$AH$17,16,計算用1!$AH$18,17,計算用1!$AH$19,18,計算用1!$AH$20,19,計算用1!$AH$21,20,計算用1!$AH$22,21,計算用1!$AH$23,22,計算用1!$AH$24,23,計算用1!$AH$25,24,計算用1!$AH$26,25,計算用1!$AH$27,26,計算用1!$AH$28,27,計算用1!$AH$29,28,計算用1!$AH$30,29,計算用1!$AH$31,30,計算用1!$AH$32,31,計算用1!$AH$33,32,計算用1!$AH$34,33,計算用1!$AH$35,34,計算用1!$AH$36,35,計算用1!$AH$37,36,計算用1!$AH$38,37,計算用1!$AH$39,38,計算用1!$AH$40,39,計算用1!$AH$41,40,計算用1!$AH$42,41,計算用1!$AH$43,42,計算用1!$AH$44,43,計算用1!$AH$45,44,計算用1!$AH$46,45,計算用1!$AH$47,46,計算用1!$AH$48,47,計算用1!$AH$49,48,計算用1!$AH$50,49,計算用1!$AH$51,50,計算用1!$AH$52,"該当なし"),_xlfn.SWITCH(I3,1,計算用2!$AH$3,2,計算用2!$AH$4,3,計算用2!$AH$5,4,計算用2!$AH$6,5,計算用2!$AH$7,6,計算用2!$AH$8,7,計算用2!$AH$9,8,計算用2!$AH$10,9,計算用2!$AH$11,10,計算用2!$AH$12,11,計算用2!$AH$13,12,計算用2!$AH$14,13,計算用2!$AH$15,14,計算用2!$AH$16,15,計算用2!$AH$17,16,計算用2!$AH$18,17,計算用2!$AH$19,18,計算用2!$AH$20,19,計算用2!$AH$21,20,計算用2!$AH$22,21,計算用2!$AH$23,22,計算用2!$AH$24,23,計算用2!$AH$25,24,計算用2!$AH$26,25,計算用2!$AH$27,26,計算用2!$AH$28,27,計算用2!$AH$29,28,計算用2!$AH$30,29,計算用2!$AH$31,30,計算用2!$AH$32,31,計算用2!$AH$33,32,計算用2!$AH$34,33,計算用2!$AH$35,34,計算用2!$AH$36,35,計算用2!$AH$37,36,計算用2!$AH$38,37,計算用2!$AH$39,38,計算用2!$AH$40,39,計算用2!$AH$41,40,計算用2!$AH$42,41,計算用2!$AH$43,42,計算用2!$AH$44,43,計算用2!$AH$45,44,計算用2!$AH$46,45,計算用2!$AH$47,46,計算用2!$AH$48,47,計算用2!$AH$49,48,計算用2!$AH$50,49,計算用2!$AH$51,50,計算用2!$AH$52,"該当なし"),I15)</f>
        <v>151.24</v>
      </c>
      <c r="G13" s="3"/>
      <c r="H13" s="51" t="s">
        <v>563</v>
      </c>
      <c r="I13" s="81"/>
      <c r="J13" s="3" t="s">
        <v>465</v>
      </c>
      <c r="K13" s="3"/>
      <c r="L13" s="24"/>
      <c r="M13" s="23"/>
      <c r="N13" s="23"/>
      <c r="O13" s="23"/>
      <c r="P13" s="23"/>
      <c r="R13" s="2"/>
      <c r="S13" s="13"/>
      <c r="T13" s="16"/>
      <c r="U13" s="16"/>
      <c r="W13" s="2"/>
      <c r="X13" s="17"/>
    </row>
    <row r="14" spans="1:24" ht="18.600000000000001" thickBot="1" x14ac:dyDescent="0.5">
      <c r="A14" s="3"/>
      <c r="B14" s="86"/>
      <c r="C14" s="91" t="s">
        <v>14</v>
      </c>
      <c r="D14" s="92"/>
      <c r="E14" s="92"/>
      <c r="F14" s="49">
        <f>SUM(F12:F13)</f>
        <v>3084.8913000000002</v>
      </c>
      <c r="G14" s="3"/>
      <c r="H14" s="50" t="s">
        <v>568</v>
      </c>
      <c r="I14" s="82"/>
      <c r="J14" s="3" t="s">
        <v>465</v>
      </c>
      <c r="K14" s="3"/>
      <c r="L14" s="24"/>
      <c r="M14" s="23"/>
      <c r="N14" s="23"/>
      <c r="O14" s="23"/>
      <c r="P14" s="23"/>
      <c r="R14" s="2"/>
      <c r="S14" s="13"/>
      <c r="T14" s="16"/>
      <c r="U14" s="16"/>
      <c r="W14" s="2"/>
      <c r="X14" s="17"/>
    </row>
    <row r="15" spans="1:24" ht="18.600000000000001" thickBot="1" x14ac:dyDescent="0.5">
      <c r="A15" s="3"/>
      <c r="B15" s="97" t="s">
        <v>15</v>
      </c>
      <c r="C15" s="98"/>
      <c r="D15" s="98"/>
      <c r="E15" s="99"/>
      <c r="F15" s="20">
        <f>F6+F11+F14</f>
        <v>4506.6710981000006</v>
      </c>
      <c r="G15" s="3"/>
      <c r="H15" s="79" t="s">
        <v>564</v>
      </c>
      <c r="I15" s="82"/>
      <c r="J15" s="3" t="s">
        <v>465</v>
      </c>
      <c r="K15" s="3"/>
      <c r="L15" s="24"/>
      <c r="M15" s="23"/>
      <c r="N15" s="23"/>
      <c r="O15" s="23"/>
      <c r="P15" s="23"/>
      <c r="R15" s="2"/>
      <c r="S15" s="13"/>
      <c r="T15" s="16"/>
      <c r="U15" s="16"/>
      <c r="W15" s="2"/>
      <c r="X15" s="17"/>
    </row>
    <row r="16" spans="1:24" ht="18.600000000000001" thickBot="1" x14ac:dyDescent="0.5">
      <c r="A16" s="3"/>
      <c r="B16" s="6"/>
      <c r="C16" s="92" t="s">
        <v>16</v>
      </c>
      <c r="D16" s="92"/>
      <c r="E16" s="92"/>
      <c r="F16" s="49">
        <f>_xlfn.IFS(I16="",_xlfn.SWITCH(I3,1,計算用1!$AG$3,2,計算用1!$AG$4,3,計算用1!$AG$5,4,計算用1!$AG$6,5,計算用1!$AG$7,6,計算用1!$AG$8,7,計算用1!$AG$9,8,計算用1!$AG$10,9,計算用1!$AG$11,10,計算用1!$AG$12,11,計算用1!$AG$13,12,計算用1!$AG$14,13,計算用1!$AG$15,14,計算用1!$AG$16,15,計算用1!$AG$17,16,計算用1!$AG$18,17,計算用1!$AG$19,18,計算用1!$AG$20,19,計算用1!$AG$21,20,計算用1!$AG$22,21,計算用1!$AG$23,22,計算用1!$AG$24,23,計算用1!$AG$25,24,計算用1!$AG$26,25,計算用1!$AG$27,26,計算用1!$AG$28,27,計算用1!$AG$29,28,計算用1!$AG$30,29,計算用1!$AG$31,30,計算用1!$AG$32,31,計算用1!$AG$33,32,計算用1!$AG$34,33,計算用1!$AG$35,34,計算用1!$AG$36,35,計算用1!$AG$37,36,計算用1!$AG$38,37,計算用1!$AG$39,38,計算用1!$AG$40,39,計算用1!$AG$41,40,計算用1!$AG$42,41,計算用1!$AG$43,42,計算用1!$AG$44,43,計算用1!$AG$45,44,計算用1!$AG$46,45,計算用1!$AG$47,46,計算用1!$AG$48,47,計算用1!$AG$49,48,計算用1!$AG$50,49,計算用1!$AG$51,50,計算用1!$AG$52,"該当なし"),_xlfn.SWITCH(I3,1,計算用2!$AG$3,2,計算用2!$AG$4,3,計算用2!$AG$5,4,計算用2!$AG$6,5,計算用2!$AG$7,6,計算用2!$AG$8,7,計算用2!$AG$9,8,計算用2!$AG$10,9,計算用2!$AG$11,10,計算用2!$AG$12,11,計算用2!$AG$13,12,計算用2!$AG$14,13,計算用2!$AG$15,14,計算用2!$AG$16,15,計算用2!$AG$17,16,計算用2!$AG$18,17,計算用2!$AG$19,18,計算用2!$AG$20,19,計算用2!$AG$21,20,計算用2!$AG$22,21,計算用2!$AG$23,22,計算用2!$AG$24,23,計算用2!$AG$25,24,計算用2!$AG$26,25,計算用2!$AG$27,26,計算用2!$AG$28,27,計算用2!$AG$29,28,計算用2!$AG$30,29,計算用2!$AG$31,30,計算用2!$AG$32,31,計算用2!$AG$33,32,計算用2!$AG$34,33,計算用2!$AG$35,34,計算用2!$AG$36,35,計算用2!$AG$37,36,計算用2!$AG$38,37,計算用2!$AG$39,38,計算用2!$AG$40,39,計算用2!$AG$41,40,計算用2!$AG$42,41,計算用2!$AG$43,42,計算用2!$AG$44,43,計算用2!$AG$45,44,計算用2!$AG$46,45,計算用2!$AG$47,46,計算用2!$AG$48,47,計算用2!$AG$49,48,計算用2!$AG$50,49,計算用2!$AG$51,50,計算用2!$AG$52,"該当なし"),I16)</f>
        <v>3024.8</v>
      </c>
      <c r="G16" s="3"/>
      <c r="H16" s="78" t="s">
        <v>690</v>
      </c>
      <c r="I16" s="83"/>
      <c r="J16" s="3" t="s">
        <v>465</v>
      </c>
      <c r="K16" s="3"/>
      <c r="L16" s="24"/>
      <c r="M16" s="23"/>
      <c r="N16" s="23"/>
      <c r="O16" s="23"/>
      <c r="P16" s="23"/>
      <c r="R16" s="2"/>
      <c r="S16" s="13"/>
      <c r="T16" s="16"/>
      <c r="U16" s="16"/>
      <c r="W16" s="2"/>
      <c r="X16" s="17"/>
    </row>
    <row r="17" spans="1:24" ht="18.600000000000001" thickBot="1" x14ac:dyDescent="0.5">
      <c r="A17" s="3"/>
      <c r="B17" s="97" t="s">
        <v>17</v>
      </c>
      <c r="C17" s="98"/>
      <c r="D17" s="98"/>
      <c r="E17" s="99"/>
      <c r="F17" s="20">
        <f>F16</f>
        <v>3024.8</v>
      </c>
      <c r="G17" s="3"/>
      <c r="H17" s="54" t="s">
        <v>570</v>
      </c>
      <c r="I17" s="3"/>
      <c r="J17" s="3"/>
      <c r="K17" s="3"/>
      <c r="L17" s="24"/>
      <c r="M17" s="23"/>
      <c r="N17" s="23"/>
      <c r="O17" s="23"/>
      <c r="P17" s="23"/>
      <c r="Q17" s="13"/>
      <c r="R17" s="2"/>
      <c r="S17" s="13"/>
      <c r="T17" s="16"/>
      <c r="U17" s="16"/>
      <c r="W17" s="2"/>
      <c r="X17" s="17"/>
    </row>
    <row r="18" spans="1:24" ht="18.600000000000001" thickBot="1" x14ac:dyDescent="0.5">
      <c r="A18" s="3"/>
      <c r="B18" s="96" t="s">
        <v>18</v>
      </c>
      <c r="C18" s="96"/>
      <c r="D18" s="96"/>
      <c r="E18" s="96"/>
      <c r="F18" s="14">
        <f>12*I3</f>
        <v>120</v>
      </c>
      <c r="G18" s="3"/>
      <c r="H18" s="52" t="s">
        <v>571</v>
      </c>
      <c r="I18" s="3"/>
      <c r="J18" s="3"/>
      <c r="K18" s="3"/>
      <c r="L18" s="24"/>
      <c r="M18" s="23"/>
      <c r="N18" s="23"/>
      <c r="O18" s="23"/>
      <c r="P18" s="23"/>
      <c r="Q18" s="23"/>
      <c r="R18" s="2"/>
      <c r="S18" s="13"/>
      <c r="T18" s="16"/>
      <c r="U18" s="16"/>
      <c r="W18" s="2"/>
      <c r="X18" s="17"/>
    </row>
    <row r="19" spans="1:24" ht="18.600000000000001" thickBot="1" x14ac:dyDescent="0.5">
      <c r="A19" s="3"/>
      <c r="B19" s="3"/>
      <c r="C19" s="3"/>
      <c r="D19" s="3"/>
      <c r="E19" s="3"/>
      <c r="F19" s="3"/>
      <c r="G19" s="3"/>
      <c r="H19" s="18" t="s">
        <v>565</v>
      </c>
      <c r="I19" s="3"/>
      <c r="J19" s="3"/>
      <c r="K19" s="3"/>
      <c r="L19" s="24"/>
      <c r="M19" s="23"/>
      <c r="N19" s="23"/>
      <c r="O19" s="23"/>
      <c r="P19" s="23"/>
      <c r="Q19" s="23"/>
      <c r="R19" s="2"/>
      <c r="S19" s="13"/>
      <c r="T19" s="16"/>
      <c r="U19" s="16"/>
      <c r="W19" s="2"/>
      <c r="X19" s="17"/>
    </row>
    <row r="20" spans="1:24" ht="18.600000000000001" thickBot="1" x14ac:dyDescent="0.5">
      <c r="A20" s="3"/>
      <c r="B20" s="12" t="s">
        <v>19</v>
      </c>
      <c r="C20" s="12"/>
      <c r="D20" s="12"/>
      <c r="E20" s="12"/>
      <c r="F20" s="15">
        <f>-((F17-F15)/F18)</f>
        <v>12.348925817500003</v>
      </c>
      <c r="G20" s="3" t="s">
        <v>20</v>
      </c>
      <c r="H20" s="18" t="s">
        <v>566</v>
      </c>
      <c r="I20" s="3"/>
      <c r="J20" s="3"/>
      <c r="K20" s="3"/>
      <c r="L20" s="24"/>
      <c r="M20" s="23"/>
      <c r="N20" s="23"/>
      <c r="O20" s="23"/>
      <c r="P20" s="23"/>
      <c r="Q20" s="23"/>
      <c r="R20" s="2"/>
      <c r="S20" s="13"/>
      <c r="T20" s="16"/>
      <c r="U20" s="16"/>
      <c r="W20" s="2"/>
      <c r="X20" s="17"/>
    </row>
    <row r="21" spans="1:24" x14ac:dyDescent="0.45">
      <c r="A21" s="3"/>
      <c r="B21" s="3"/>
      <c r="C21" s="3"/>
      <c r="D21" s="3"/>
      <c r="E21" s="3"/>
      <c r="F21" s="3"/>
      <c r="G21" s="3"/>
      <c r="H21" s="18" t="s">
        <v>567</v>
      </c>
      <c r="I21" s="3"/>
      <c r="J21" s="3"/>
      <c r="K21" s="3"/>
      <c r="L21" s="24"/>
      <c r="M21" s="23"/>
      <c r="N21" s="23"/>
      <c r="O21" s="23"/>
      <c r="P21" s="23"/>
      <c r="Q21" s="23"/>
      <c r="R21" s="2"/>
      <c r="S21" s="13"/>
      <c r="T21" s="16"/>
      <c r="U21" s="16"/>
      <c r="W21" s="2"/>
      <c r="X21" s="17"/>
    </row>
    <row r="22" spans="1:24" x14ac:dyDescent="0.45">
      <c r="A22" s="3"/>
      <c r="B22" s="3"/>
      <c r="C22" s="3"/>
      <c r="D22" s="3"/>
      <c r="E22" s="3"/>
      <c r="F22" s="3"/>
      <c r="G22" s="3"/>
      <c r="I22" s="3"/>
      <c r="J22" s="3"/>
      <c r="K22" s="3"/>
      <c r="L22" s="24"/>
      <c r="M22" s="23"/>
      <c r="N22" s="23"/>
      <c r="O22" s="23"/>
      <c r="P22" s="23"/>
      <c r="Q22" s="23"/>
      <c r="R22" s="2"/>
      <c r="S22" s="13"/>
      <c r="T22" s="16"/>
      <c r="U22" s="16"/>
      <c r="W22" s="2"/>
      <c r="X22" s="17"/>
    </row>
    <row r="23" spans="1:24" x14ac:dyDescent="0.4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24"/>
      <c r="M23" s="23"/>
      <c r="N23" s="23"/>
      <c r="O23" s="23"/>
      <c r="P23" s="23"/>
      <c r="Q23" s="23"/>
      <c r="R23" s="2"/>
      <c r="S23" s="13"/>
      <c r="T23" s="16"/>
      <c r="U23" s="16"/>
      <c r="W23" s="2"/>
      <c r="X23" s="17"/>
    </row>
    <row r="24" spans="1:24" x14ac:dyDescent="0.4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24"/>
      <c r="M24" s="23"/>
      <c r="N24" s="23"/>
      <c r="O24" s="23"/>
      <c r="P24" s="23"/>
      <c r="Q24" s="23"/>
      <c r="R24" s="2"/>
      <c r="S24" s="13"/>
      <c r="T24" s="16"/>
      <c r="U24" s="16"/>
      <c r="W24" s="2"/>
      <c r="X24" s="17"/>
    </row>
    <row r="25" spans="1:24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4"/>
      <c r="M25" s="23"/>
      <c r="N25" s="23"/>
      <c r="O25" s="23"/>
      <c r="P25" s="23"/>
      <c r="Q25" s="23"/>
      <c r="R25" s="2"/>
      <c r="S25" s="13"/>
      <c r="T25" s="16"/>
      <c r="U25" s="16"/>
      <c r="W25" s="2"/>
      <c r="X25" s="17"/>
    </row>
    <row r="26" spans="1:24" x14ac:dyDescent="0.45">
      <c r="L26" s="24"/>
      <c r="M26" s="23"/>
      <c r="N26" s="23"/>
      <c r="O26" s="23"/>
      <c r="P26" s="23"/>
      <c r="Q26" s="23"/>
      <c r="R26" s="2"/>
      <c r="S26" s="13"/>
      <c r="T26" s="16"/>
      <c r="U26" s="16"/>
      <c r="W26" s="2"/>
      <c r="X26" s="17"/>
    </row>
    <row r="27" spans="1:24" x14ac:dyDescent="0.45">
      <c r="E27" s="24"/>
      <c r="F27" s="23"/>
      <c r="G27" s="23"/>
      <c r="H27" s="23"/>
      <c r="I27" s="23"/>
      <c r="J27" s="23"/>
      <c r="K27" s="2"/>
      <c r="L27" s="13"/>
      <c r="M27" s="16"/>
      <c r="N27" s="16"/>
      <c r="P27" s="2"/>
      <c r="Q27" s="17"/>
    </row>
    <row r="28" spans="1:24" x14ac:dyDescent="0.45">
      <c r="E28" s="24"/>
      <c r="F28" s="23"/>
      <c r="G28" s="23"/>
      <c r="H28" s="23"/>
      <c r="I28" s="23"/>
      <c r="J28" s="23"/>
      <c r="K28" s="2"/>
      <c r="L28" s="13"/>
      <c r="M28" s="16"/>
      <c r="N28" s="16"/>
      <c r="P28" s="2"/>
      <c r="Q28" s="17"/>
    </row>
    <row r="29" spans="1:24" x14ac:dyDescent="0.45">
      <c r="E29" s="24"/>
      <c r="F29" s="23"/>
      <c r="G29" s="23"/>
      <c r="H29" s="23"/>
      <c r="I29" s="23"/>
      <c r="J29" s="23"/>
      <c r="K29" s="2"/>
      <c r="L29" s="13"/>
      <c r="M29" s="16"/>
      <c r="N29" s="16"/>
      <c r="P29" s="2"/>
      <c r="Q29" s="17"/>
    </row>
    <row r="30" spans="1:24" x14ac:dyDescent="0.45">
      <c r="E30" s="24"/>
      <c r="F30" s="23"/>
      <c r="G30" s="23"/>
      <c r="H30" s="23"/>
      <c r="I30" s="23"/>
      <c r="J30" s="23"/>
      <c r="K30" s="2"/>
      <c r="L30" s="13"/>
      <c r="M30" s="16"/>
      <c r="N30" s="16"/>
      <c r="P30" s="2"/>
      <c r="Q30" s="17"/>
    </row>
    <row r="31" spans="1:24" x14ac:dyDescent="0.45">
      <c r="E31" s="24"/>
      <c r="F31" s="23"/>
      <c r="G31" s="23"/>
      <c r="H31" s="23"/>
      <c r="I31" s="23"/>
      <c r="J31" s="23"/>
      <c r="K31" s="2"/>
      <c r="L31" s="13"/>
      <c r="M31" s="16"/>
      <c r="N31" s="16"/>
      <c r="P31" s="2"/>
      <c r="Q31" s="17"/>
    </row>
    <row r="32" spans="1:24" x14ac:dyDescent="0.45">
      <c r="E32" s="24"/>
      <c r="F32" s="23"/>
      <c r="G32" s="23"/>
      <c r="H32" s="23"/>
      <c r="I32" s="23"/>
      <c r="J32" s="23"/>
      <c r="K32" s="2"/>
      <c r="L32" s="13"/>
      <c r="M32" s="16"/>
      <c r="N32" s="16"/>
      <c r="P32" s="2"/>
      <c r="Q32" s="17"/>
    </row>
    <row r="33" spans="12:24" x14ac:dyDescent="0.45">
      <c r="L33" s="24"/>
      <c r="M33" s="23"/>
      <c r="N33" s="23"/>
      <c r="O33" s="23"/>
      <c r="P33" s="23"/>
      <c r="Q33" s="23"/>
      <c r="R33" s="2"/>
      <c r="S33" s="13"/>
      <c r="T33" s="16"/>
      <c r="U33" s="16"/>
      <c r="W33" s="2"/>
      <c r="X33" s="17"/>
    </row>
    <row r="34" spans="12:24" x14ac:dyDescent="0.45">
      <c r="L34" s="24"/>
      <c r="M34" s="23"/>
      <c r="N34" s="23"/>
      <c r="O34" s="23"/>
      <c r="P34" s="23"/>
      <c r="Q34" s="23"/>
      <c r="R34" s="2"/>
      <c r="S34" s="13"/>
      <c r="T34" s="16"/>
      <c r="U34" s="16"/>
      <c r="W34" s="2"/>
      <c r="X34" s="17"/>
    </row>
    <row r="35" spans="12:24" x14ac:dyDescent="0.45">
      <c r="L35" s="24"/>
      <c r="M35" s="23"/>
      <c r="N35" s="23"/>
      <c r="O35" s="23"/>
      <c r="P35" s="23"/>
      <c r="Q35" s="23"/>
      <c r="R35" s="2"/>
      <c r="S35" s="13"/>
      <c r="T35" s="16"/>
      <c r="U35" s="16"/>
      <c r="W35" s="2"/>
      <c r="X35" s="17"/>
    </row>
    <row r="36" spans="12:24" x14ac:dyDescent="0.45">
      <c r="L36" s="24"/>
      <c r="M36" s="23"/>
      <c r="N36" s="23"/>
      <c r="O36" s="23"/>
      <c r="P36" s="23"/>
      <c r="Q36" s="23"/>
      <c r="R36" s="2"/>
      <c r="S36" s="13"/>
      <c r="T36" s="16"/>
      <c r="U36" s="16"/>
      <c r="W36" s="2"/>
      <c r="X36" s="17"/>
    </row>
    <row r="37" spans="12:24" x14ac:dyDescent="0.45">
      <c r="L37" s="24"/>
      <c r="M37" s="23"/>
      <c r="N37" s="23"/>
      <c r="O37" s="23"/>
      <c r="P37" s="23"/>
      <c r="Q37" s="23"/>
      <c r="R37" s="2"/>
      <c r="S37" s="13"/>
      <c r="T37" s="16"/>
      <c r="U37" s="16"/>
      <c r="W37" s="2"/>
      <c r="X37" s="17"/>
    </row>
    <row r="38" spans="12:24" x14ac:dyDescent="0.45">
      <c r="L38" s="24"/>
      <c r="M38" s="23"/>
      <c r="N38" s="23"/>
      <c r="O38" s="23"/>
      <c r="P38" s="23"/>
      <c r="Q38" s="23"/>
      <c r="R38" s="2"/>
      <c r="T38" s="16"/>
      <c r="U38" s="16"/>
      <c r="W38" s="2"/>
      <c r="X38" s="17"/>
    </row>
    <row r="39" spans="12:24" x14ac:dyDescent="0.45">
      <c r="L39" s="24"/>
      <c r="M39" s="23"/>
      <c r="N39" s="23"/>
      <c r="O39" s="23"/>
      <c r="P39" s="23"/>
      <c r="R39" s="2"/>
      <c r="T39" s="16"/>
      <c r="U39" s="16"/>
      <c r="W39" s="2"/>
      <c r="X39" s="17"/>
    </row>
    <row r="40" spans="12:24" x14ac:dyDescent="0.45">
      <c r="L40" s="24"/>
      <c r="M40" s="23"/>
      <c r="N40" s="23"/>
      <c r="O40" s="23"/>
      <c r="P40" s="23"/>
      <c r="R40" s="2"/>
      <c r="T40" s="16"/>
      <c r="U40" s="16"/>
      <c r="W40" s="2"/>
      <c r="X40" s="17"/>
    </row>
    <row r="41" spans="12:24" x14ac:dyDescent="0.45">
      <c r="L41" s="24"/>
      <c r="M41" s="23"/>
      <c r="N41" s="23"/>
      <c r="O41" s="23"/>
      <c r="P41" s="23"/>
      <c r="R41" s="2"/>
      <c r="T41" s="16"/>
      <c r="U41" s="16"/>
      <c r="W41" s="2"/>
      <c r="X41" s="17"/>
    </row>
    <row r="42" spans="12:24" x14ac:dyDescent="0.45">
      <c r="L42" s="24"/>
      <c r="M42" s="23"/>
      <c r="N42" s="23"/>
      <c r="O42" s="23"/>
      <c r="P42" s="23"/>
      <c r="R42" s="2"/>
      <c r="T42" s="16"/>
      <c r="U42" s="16"/>
      <c r="W42" s="2"/>
      <c r="X42" s="17"/>
    </row>
    <row r="43" spans="12:24" x14ac:dyDescent="0.45">
      <c r="L43" s="24"/>
      <c r="M43" s="23"/>
      <c r="N43" s="23"/>
      <c r="O43" s="23"/>
      <c r="P43" s="23"/>
      <c r="R43" s="2"/>
      <c r="T43" s="16"/>
      <c r="U43" s="16"/>
      <c r="W43" s="2"/>
      <c r="X43" s="17"/>
    </row>
    <row r="44" spans="12:24" x14ac:dyDescent="0.45">
      <c r="L44" s="24"/>
      <c r="M44" s="23"/>
      <c r="N44" s="23"/>
      <c r="O44" s="23"/>
      <c r="P44" s="23"/>
      <c r="R44" s="2"/>
      <c r="T44" s="16"/>
      <c r="U44" s="16"/>
      <c r="W44" s="2"/>
      <c r="X44" s="17"/>
    </row>
    <row r="45" spans="12:24" x14ac:dyDescent="0.45">
      <c r="L45" s="24"/>
      <c r="M45" s="23"/>
      <c r="N45" s="23"/>
      <c r="O45" s="23"/>
      <c r="P45" s="23"/>
      <c r="R45" s="2"/>
      <c r="T45" s="16"/>
      <c r="U45" s="16"/>
      <c r="W45" s="2"/>
      <c r="X45" s="17"/>
    </row>
    <row r="46" spans="12:24" x14ac:dyDescent="0.45">
      <c r="L46" s="24"/>
      <c r="M46" s="23"/>
      <c r="N46" s="23"/>
      <c r="O46" s="23"/>
      <c r="P46" s="23"/>
      <c r="R46" s="2"/>
      <c r="T46" s="16"/>
      <c r="U46" s="16"/>
      <c r="W46" s="2"/>
      <c r="X46" s="17"/>
    </row>
    <row r="47" spans="12:24" x14ac:dyDescent="0.45">
      <c r="L47" s="24"/>
      <c r="M47" s="23"/>
      <c r="N47" s="23"/>
      <c r="O47" s="23"/>
      <c r="P47" s="23"/>
      <c r="R47" s="2"/>
      <c r="T47" s="16"/>
      <c r="U47" s="16"/>
      <c r="W47" s="2"/>
      <c r="X47" s="17"/>
    </row>
    <row r="48" spans="12:24" x14ac:dyDescent="0.45">
      <c r="L48" s="24"/>
      <c r="M48" s="23"/>
      <c r="N48" s="23"/>
      <c r="O48" s="23"/>
      <c r="P48" s="23"/>
      <c r="R48" s="2"/>
      <c r="T48" s="16"/>
      <c r="U48" s="16"/>
      <c r="W48" s="2"/>
      <c r="X48" s="17"/>
    </row>
    <row r="49" spans="12:24" x14ac:dyDescent="0.45">
      <c r="L49" s="24"/>
      <c r="M49" s="23"/>
      <c r="N49" s="23"/>
      <c r="O49" s="23"/>
      <c r="P49" s="23"/>
      <c r="R49" s="2"/>
      <c r="T49" s="16"/>
      <c r="U49" s="16"/>
      <c r="W49" s="2"/>
      <c r="X49" s="17"/>
    </row>
    <row r="50" spans="12:24" x14ac:dyDescent="0.45">
      <c r="L50" s="24"/>
      <c r="M50" s="23"/>
      <c r="N50" s="23"/>
      <c r="O50" s="23"/>
      <c r="P50" s="23"/>
      <c r="R50" s="2"/>
      <c r="T50" s="16"/>
      <c r="U50" s="16"/>
      <c r="W50" s="2"/>
      <c r="X50" s="17"/>
    </row>
    <row r="51" spans="12:24" x14ac:dyDescent="0.45">
      <c r="L51" s="24"/>
      <c r="M51" s="23"/>
      <c r="N51" s="23"/>
      <c r="O51" s="23"/>
      <c r="P51" s="23"/>
      <c r="R51" s="2"/>
      <c r="T51" s="16"/>
      <c r="U51" s="16"/>
      <c r="W51" s="2"/>
      <c r="X51" s="17"/>
    </row>
    <row r="52" spans="12:24" x14ac:dyDescent="0.45">
      <c r="L52" s="24"/>
      <c r="M52" s="23"/>
      <c r="N52" s="23"/>
      <c r="O52" s="23"/>
      <c r="P52" s="23"/>
      <c r="R52" s="2"/>
      <c r="T52" s="16"/>
      <c r="U52" s="16"/>
      <c r="W52" s="2"/>
      <c r="X52" s="17"/>
    </row>
    <row r="53" spans="12:24" x14ac:dyDescent="0.45">
      <c r="L53" s="24"/>
      <c r="M53" s="23"/>
      <c r="N53" s="23"/>
      <c r="O53" s="23"/>
      <c r="P53" s="23"/>
    </row>
    <row r="54" spans="12:24" x14ac:dyDescent="0.45">
      <c r="L54" s="24"/>
      <c r="M54" s="23"/>
      <c r="N54" s="23"/>
      <c r="O54" s="23"/>
      <c r="P54" s="23"/>
    </row>
    <row r="55" spans="12:24" x14ac:dyDescent="0.45">
      <c r="L55" s="24"/>
      <c r="M55" s="23"/>
      <c r="N55" s="23"/>
      <c r="O55" s="23"/>
      <c r="P55" s="23"/>
    </row>
    <row r="56" spans="12:24" x14ac:dyDescent="0.45">
      <c r="L56" s="24"/>
      <c r="M56" s="23"/>
      <c r="N56" s="23"/>
      <c r="O56" s="23"/>
      <c r="P56" s="23"/>
    </row>
    <row r="57" spans="12:24" x14ac:dyDescent="0.45">
      <c r="L57" s="24"/>
      <c r="M57" s="23"/>
      <c r="N57" s="23"/>
      <c r="O57" s="23"/>
      <c r="P57" s="23"/>
    </row>
    <row r="58" spans="12:24" x14ac:dyDescent="0.45">
      <c r="L58" s="24"/>
      <c r="M58" s="23"/>
      <c r="N58" s="23"/>
      <c r="O58" s="23"/>
      <c r="P58" s="23"/>
    </row>
    <row r="59" spans="12:24" x14ac:dyDescent="0.45">
      <c r="L59" s="24"/>
      <c r="M59" s="23"/>
      <c r="N59" s="23"/>
      <c r="O59" s="23"/>
      <c r="P59" s="23"/>
    </row>
    <row r="60" spans="12:24" x14ac:dyDescent="0.45">
      <c r="L60" s="24"/>
      <c r="M60" s="23"/>
      <c r="N60" s="23"/>
      <c r="O60" s="23"/>
      <c r="P60" s="23"/>
    </row>
    <row r="61" spans="12:24" x14ac:dyDescent="0.45">
      <c r="L61" s="24"/>
      <c r="M61" s="23"/>
      <c r="N61" s="23"/>
      <c r="O61" s="23"/>
      <c r="P61" s="23"/>
    </row>
    <row r="62" spans="12:24" x14ac:dyDescent="0.45">
      <c r="L62" s="24"/>
      <c r="M62" s="23"/>
      <c r="N62" s="23"/>
      <c r="O62" s="23"/>
      <c r="P62" s="23"/>
    </row>
    <row r="63" spans="12:24" x14ac:dyDescent="0.45">
      <c r="L63" s="24"/>
      <c r="M63" s="23"/>
      <c r="N63" s="23"/>
      <c r="O63" s="23"/>
      <c r="P63" s="23"/>
    </row>
    <row r="64" spans="12:24" x14ac:dyDescent="0.45">
      <c r="L64" s="24"/>
      <c r="M64" s="23"/>
      <c r="N64" s="23"/>
      <c r="O64" s="23"/>
      <c r="P64" s="23"/>
    </row>
    <row r="65" spans="12:16" x14ac:dyDescent="0.45">
      <c r="L65" s="24"/>
      <c r="M65" s="23"/>
      <c r="N65" s="23"/>
      <c r="O65" s="23"/>
      <c r="P65" s="23"/>
    </row>
    <row r="66" spans="12:16" x14ac:dyDescent="0.45">
      <c r="L66" s="24"/>
      <c r="M66" s="23"/>
      <c r="N66" s="23"/>
      <c r="O66" s="23"/>
      <c r="P66" s="23"/>
    </row>
    <row r="67" spans="12:16" x14ac:dyDescent="0.45">
      <c r="L67" s="24"/>
      <c r="M67" s="23"/>
      <c r="N67" s="23"/>
      <c r="O67" s="23"/>
      <c r="P67" s="23"/>
    </row>
    <row r="68" spans="12:16" x14ac:dyDescent="0.45">
      <c r="L68" s="24"/>
      <c r="M68" s="23"/>
      <c r="N68" s="23"/>
      <c r="O68" s="23"/>
      <c r="P68" s="23"/>
    </row>
    <row r="69" spans="12:16" x14ac:dyDescent="0.45">
      <c r="L69" s="24"/>
      <c r="M69" s="23"/>
      <c r="N69" s="23"/>
      <c r="O69" s="23"/>
      <c r="P69" s="23"/>
    </row>
    <row r="70" spans="12:16" x14ac:dyDescent="0.45">
      <c r="L70" s="24"/>
      <c r="M70" s="23"/>
      <c r="N70" s="23"/>
      <c r="O70" s="23"/>
      <c r="P70" s="23"/>
    </row>
    <row r="71" spans="12:16" x14ac:dyDescent="0.45">
      <c r="L71" s="24"/>
      <c r="M71" s="23"/>
      <c r="N71" s="23"/>
      <c r="O71" s="23"/>
      <c r="P71" s="23"/>
    </row>
    <row r="72" spans="12:16" x14ac:dyDescent="0.45">
      <c r="L72" s="24"/>
      <c r="M72" s="23"/>
      <c r="N72" s="23"/>
      <c r="O72" s="23"/>
      <c r="P72" s="23"/>
    </row>
    <row r="73" spans="12:16" x14ac:dyDescent="0.45">
      <c r="L73" s="24"/>
      <c r="M73" s="23"/>
      <c r="N73" s="23"/>
      <c r="O73" s="23"/>
      <c r="P73" s="23"/>
    </row>
    <row r="74" spans="12:16" x14ac:dyDescent="0.45">
      <c r="L74" s="24"/>
      <c r="M74" s="23"/>
      <c r="N74" s="23"/>
      <c r="O74" s="23"/>
      <c r="P74" s="23"/>
    </row>
    <row r="75" spans="12:16" x14ac:dyDescent="0.45">
      <c r="L75" s="24"/>
      <c r="M75" s="23"/>
      <c r="N75" s="23"/>
      <c r="O75" s="23"/>
      <c r="P75" s="23"/>
    </row>
    <row r="76" spans="12:16" x14ac:dyDescent="0.45">
      <c r="L76" s="24"/>
      <c r="M76" s="23"/>
      <c r="N76" s="23"/>
      <c r="O76" s="23"/>
      <c r="P76" s="23"/>
    </row>
    <row r="77" spans="12:16" x14ac:dyDescent="0.45">
      <c r="L77" s="24"/>
      <c r="M77" s="23"/>
      <c r="N77" s="23"/>
      <c r="O77" s="23"/>
      <c r="P77" s="23"/>
    </row>
    <row r="78" spans="12:16" x14ac:dyDescent="0.45">
      <c r="L78" s="24"/>
      <c r="M78" s="23"/>
      <c r="N78" s="23"/>
      <c r="O78" s="23"/>
      <c r="P78" s="23"/>
    </row>
    <row r="79" spans="12:16" x14ac:dyDescent="0.45">
      <c r="L79" s="24"/>
      <c r="M79" s="23"/>
      <c r="N79" s="23"/>
      <c r="O79" s="23"/>
      <c r="P79" s="23"/>
    </row>
    <row r="80" spans="12:16" x14ac:dyDescent="0.45">
      <c r="L80" s="24"/>
      <c r="M80" s="23"/>
      <c r="N80" s="23"/>
      <c r="O80" s="23"/>
      <c r="P80" s="23"/>
    </row>
    <row r="81" spans="12:16" x14ac:dyDescent="0.45">
      <c r="L81" s="24"/>
      <c r="M81" s="23"/>
      <c r="N81" s="23"/>
      <c r="O81" s="23"/>
      <c r="P81" s="23"/>
    </row>
    <row r="82" spans="12:16" x14ac:dyDescent="0.45">
      <c r="L82" s="24"/>
      <c r="M82" s="23"/>
      <c r="N82" s="23"/>
      <c r="O82" s="23"/>
      <c r="P82" s="23"/>
    </row>
    <row r="83" spans="12:16" x14ac:dyDescent="0.45">
      <c r="L83" s="24"/>
      <c r="M83" s="23"/>
      <c r="N83" s="23"/>
      <c r="O83" s="23"/>
      <c r="P83" s="23"/>
    </row>
    <row r="84" spans="12:16" x14ac:dyDescent="0.45">
      <c r="L84" s="24"/>
      <c r="M84" s="23"/>
      <c r="N84" s="23"/>
      <c r="O84" s="23"/>
      <c r="P84" s="23"/>
    </row>
    <row r="85" spans="12:16" x14ac:dyDescent="0.45">
      <c r="L85" s="24"/>
      <c r="M85" s="23"/>
      <c r="N85" s="23"/>
      <c r="O85" s="23"/>
      <c r="P85" s="23"/>
    </row>
    <row r="86" spans="12:16" x14ac:dyDescent="0.45">
      <c r="L86" s="24"/>
      <c r="M86" s="23"/>
      <c r="N86" s="23"/>
      <c r="O86" s="23"/>
      <c r="P86" s="23"/>
    </row>
    <row r="87" spans="12:16" x14ac:dyDescent="0.45">
      <c r="L87" s="24"/>
      <c r="M87" s="23"/>
      <c r="N87" s="23"/>
      <c r="O87" s="23"/>
      <c r="P87" s="23"/>
    </row>
    <row r="88" spans="12:16" x14ac:dyDescent="0.45">
      <c r="L88" s="24"/>
      <c r="M88" s="23"/>
      <c r="N88" s="23"/>
      <c r="O88" s="23"/>
      <c r="P88" s="23"/>
    </row>
    <row r="89" spans="12:16" x14ac:dyDescent="0.45">
      <c r="L89" s="24"/>
      <c r="M89" s="23"/>
      <c r="N89" s="23"/>
      <c r="O89" s="23"/>
      <c r="P89" s="23"/>
    </row>
    <row r="90" spans="12:16" x14ac:dyDescent="0.45">
      <c r="L90" s="24"/>
      <c r="M90" s="23"/>
      <c r="N90" s="23"/>
      <c r="O90" s="23"/>
      <c r="P90" s="23"/>
    </row>
    <row r="91" spans="12:16" x14ac:dyDescent="0.45">
      <c r="L91" s="24"/>
      <c r="M91" s="23"/>
      <c r="N91" s="23"/>
      <c r="O91" s="23"/>
      <c r="P91" s="23"/>
    </row>
    <row r="92" spans="12:16" x14ac:dyDescent="0.45">
      <c r="L92" s="24"/>
      <c r="M92" s="23"/>
      <c r="N92" s="23"/>
      <c r="O92" s="23"/>
      <c r="P92" s="23"/>
    </row>
    <row r="93" spans="12:16" x14ac:dyDescent="0.45">
      <c r="L93" s="24"/>
      <c r="M93" s="23"/>
      <c r="N93" s="23"/>
      <c r="O93" s="23"/>
      <c r="P93" s="23"/>
    </row>
    <row r="94" spans="12:16" x14ac:dyDescent="0.45">
      <c r="L94" s="24"/>
      <c r="M94" s="23"/>
      <c r="N94" s="23"/>
      <c r="O94" s="23"/>
      <c r="P94" s="23"/>
    </row>
    <row r="95" spans="12:16" x14ac:dyDescent="0.45">
      <c r="L95" s="24"/>
      <c r="M95" s="23"/>
      <c r="N95" s="23"/>
      <c r="O95" s="23"/>
      <c r="P95" s="23"/>
    </row>
    <row r="96" spans="12:16" x14ac:dyDescent="0.45">
      <c r="L96" s="24"/>
      <c r="M96" s="23"/>
      <c r="N96" s="23"/>
      <c r="O96" s="23"/>
      <c r="P96" s="23"/>
    </row>
    <row r="97" spans="12:16" x14ac:dyDescent="0.45">
      <c r="L97" s="24"/>
      <c r="M97" s="23"/>
      <c r="N97" s="23"/>
      <c r="O97" s="23"/>
      <c r="P97" s="23"/>
    </row>
    <row r="98" spans="12:16" x14ac:dyDescent="0.45">
      <c r="L98" s="24"/>
      <c r="M98" s="23"/>
      <c r="N98" s="23"/>
      <c r="O98" s="23"/>
      <c r="P98" s="23"/>
    </row>
    <row r="99" spans="12:16" x14ac:dyDescent="0.45">
      <c r="L99" s="24"/>
      <c r="M99" s="23"/>
      <c r="N99" s="23"/>
      <c r="O99" s="23"/>
      <c r="P99" s="23"/>
    </row>
    <row r="100" spans="12:16" x14ac:dyDescent="0.45">
      <c r="L100" s="24"/>
      <c r="M100" s="23"/>
      <c r="N100" s="23"/>
      <c r="O100" s="23"/>
      <c r="P100" s="23"/>
    </row>
    <row r="101" spans="12:16" x14ac:dyDescent="0.45">
      <c r="L101" s="24"/>
      <c r="M101" s="23"/>
      <c r="N101" s="23"/>
      <c r="O101" s="23"/>
      <c r="P101" s="23"/>
    </row>
    <row r="102" spans="12:16" x14ac:dyDescent="0.45">
      <c r="L102" s="24"/>
      <c r="M102" s="23"/>
      <c r="N102" s="23"/>
      <c r="O102" s="23"/>
      <c r="P102" s="23"/>
    </row>
    <row r="103" spans="12:16" x14ac:dyDescent="0.45">
      <c r="L103" s="24"/>
      <c r="M103" s="23"/>
      <c r="N103" s="23"/>
      <c r="O103" s="23"/>
      <c r="P103" s="23"/>
    </row>
    <row r="104" spans="12:16" x14ac:dyDescent="0.45">
      <c r="L104" s="24"/>
      <c r="M104" s="23"/>
      <c r="N104" s="23"/>
      <c r="O104" s="23"/>
      <c r="P104" s="23"/>
    </row>
    <row r="105" spans="12:16" x14ac:dyDescent="0.45">
      <c r="L105" s="24"/>
      <c r="M105" s="23"/>
      <c r="N105" s="23"/>
      <c r="O105" s="23"/>
      <c r="P105" s="23"/>
    </row>
    <row r="106" spans="12:16" x14ac:dyDescent="0.45">
      <c r="L106" s="24"/>
      <c r="M106" s="23"/>
      <c r="N106" s="23"/>
      <c r="O106" s="23"/>
      <c r="P106" s="23"/>
    </row>
    <row r="107" spans="12:16" x14ac:dyDescent="0.45">
      <c r="L107" s="24"/>
      <c r="M107" s="23"/>
      <c r="N107" s="23"/>
      <c r="O107" s="23"/>
      <c r="P107" s="23"/>
    </row>
    <row r="108" spans="12:16" x14ac:dyDescent="0.45">
      <c r="L108" s="24"/>
      <c r="M108" s="23"/>
      <c r="N108" s="23"/>
      <c r="O108" s="23"/>
      <c r="P108" s="23"/>
    </row>
    <row r="109" spans="12:16" x14ac:dyDescent="0.45">
      <c r="L109" s="24"/>
      <c r="M109" s="23"/>
      <c r="N109" s="23"/>
      <c r="O109" s="23"/>
      <c r="P109" s="23"/>
    </row>
    <row r="110" spans="12:16" x14ac:dyDescent="0.45">
      <c r="L110" s="24"/>
      <c r="M110" s="23"/>
      <c r="N110" s="23"/>
      <c r="O110" s="23"/>
      <c r="P110" s="23"/>
    </row>
    <row r="111" spans="12:16" x14ac:dyDescent="0.45">
      <c r="L111" s="24"/>
      <c r="M111" s="23"/>
      <c r="N111" s="23"/>
      <c r="O111" s="23"/>
      <c r="P111" s="23"/>
    </row>
    <row r="112" spans="12:16" x14ac:dyDescent="0.45">
      <c r="L112" s="24"/>
      <c r="M112" s="23"/>
      <c r="N112" s="23"/>
      <c r="O112" s="23"/>
      <c r="P112" s="23"/>
    </row>
    <row r="113" spans="12:16" x14ac:dyDescent="0.45">
      <c r="L113" s="24"/>
      <c r="M113" s="23"/>
      <c r="N113" s="23"/>
      <c r="O113" s="23"/>
      <c r="P113" s="23"/>
    </row>
    <row r="114" spans="12:16" x14ac:dyDescent="0.45">
      <c r="L114" s="24"/>
      <c r="M114" s="23"/>
      <c r="N114" s="23"/>
      <c r="O114" s="23"/>
      <c r="P114" s="23"/>
    </row>
    <row r="115" spans="12:16" x14ac:dyDescent="0.45">
      <c r="L115" s="24"/>
      <c r="M115" s="23"/>
      <c r="N115" s="23"/>
      <c r="O115" s="23"/>
      <c r="P115" s="23"/>
    </row>
    <row r="116" spans="12:16" x14ac:dyDescent="0.45">
      <c r="L116" s="24"/>
      <c r="M116" s="23"/>
      <c r="N116" s="23"/>
      <c r="O116" s="23"/>
      <c r="P116" s="23"/>
    </row>
    <row r="117" spans="12:16" x14ac:dyDescent="0.45">
      <c r="L117" s="24"/>
      <c r="M117" s="23"/>
      <c r="N117" s="23"/>
      <c r="O117" s="23"/>
      <c r="P117" s="23"/>
    </row>
    <row r="118" spans="12:16" x14ac:dyDescent="0.45">
      <c r="L118" s="24"/>
      <c r="M118" s="23"/>
      <c r="N118" s="23"/>
      <c r="O118" s="23"/>
      <c r="P118" s="23"/>
    </row>
    <row r="119" spans="12:16" x14ac:dyDescent="0.45">
      <c r="L119" s="24"/>
      <c r="M119" s="23"/>
      <c r="N119" s="23"/>
      <c r="O119" s="23"/>
      <c r="P119" s="23"/>
    </row>
    <row r="120" spans="12:16" x14ac:dyDescent="0.45">
      <c r="L120" s="24"/>
      <c r="M120" s="23"/>
      <c r="N120" s="23"/>
      <c r="O120" s="23"/>
      <c r="P120" s="23"/>
    </row>
    <row r="121" spans="12:16" x14ac:dyDescent="0.45">
      <c r="L121" s="24"/>
      <c r="M121" s="23"/>
      <c r="N121" s="23"/>
      <c r="O121" s="23"/>
      <c r="P121" s="23"/>
    </row>
    <row r="122" spans="12:16" x14ac:dyDescent="0.45">
      <c r="L122" s="24"/>
      <c r="M122" s="23"/>
      <c r="N122" s="23"/>
      <c r="O122" s="23"/>
      <c r="P122" s="23"/>
    </row>
    <row r="123" spans="12:16" x14ac:dyDescent="0.45">
      <c r="L123" s="24"/>
      <c r="M123" s="23"/>
      <c r="N123" s="23"/>
      <c r="O123" s="23"/>
      <c r="P123" s="23"/>
    </row>
    <row r="124" spans="12:16" x14ac:dyDescent="0.45">
      <c r="L124" s="24"/>
      <c r="M124" s="23"/>
      <c r="N124" s="23"/>
      <c r="O124" s="23"/>
      <c r="P124" s="23"/>
    </row>
    <row r="125" spans="12:16" x14ac:dyDescent="0.45">
      <c r="L125" s="24"/>
      <c r="M125" s="23"/>
      <c r="N125" s="23"/>
      <c r="O125" s="23"/>
      <c r="P125" s="23"/>
    </row>
    <row r="126" spans="12:16" x14ac:dyDescent="0.45">
      <c r="L126" s="24"/>
      <c r="M126" s="23"/>
      <c r="N126" s="23"/>
      <c r="O126" s="23"/>
      <c r="P126" s="23"/>
    </row>
    <row r="127" spans="12:16" x14ac:dyDescent="0.45">
      <c r="L127" s="24"/>
      <c r="M127" s="23"/>
      <c r="N127" s="23"/>
      <c r="O127" s="23"/>
      <c r="P127" s="23"/>
    </row>
    <row r="128" spans="12:16" x14ac:dyDescent="0.45">
      <c r="L128" s="24"/>
      <c r="M128" s="23"/>
      <c r="N128" s="23"/>
      <c r="O128" s="23"/>
      <c r="P128" s="23"/>
    </row>
    <row r="129" spans="12:16" x14ac:dyDescent="0.45">
      <c r="L129" s="24"/>
      <c r="M129" s="23"/>
      <c r="N129" s="23"/>
      <c r="O129" s="23"/>
      <c r="P129" s="23"/>
    </row>
    <row r="130" spans="12:16" x14ac:dyDescent="0.45">
      <c r="L130" s="24"/>
      <c r="M130" s="23"/>
      <c r="N130" s="23"/>
      <c r="O130" s="23"/>
      <c r="P130" s="23"/>
    </row>
    <row r="131" spans="12:16" x14ac:dyDescent="0.45">
      <c r="L131" s="24"/>
      <c r="M131" s="23"/>
      <c r="N131" s="23"/>
      <c r="O131" s="23"/>
      <c r="P131" s="23"/>
    </row>
    <row r="132" spans="12:16" x14ac:dyDescent="0.45">
      <c r="L132" s="24"/>
      <c r="M132" s="23"/>
      <c r="N132" s="23"/>
      <c r="O132" s="23"/>
      <c r="P132" s="23"/>
    </row>
    <row r="133" spans="12:16" x14ac:dyDescent="0.45">
      <c r="L133" s="24"/>
      <c r="M133" s="23"/>
      <c r="N133" s="23"/>
      <c r="O133" s="23"/>
      <c r="P133" s="23"/>
    </row>
    <row r="134" spans="12:16" x14ac:dyDescent="0.45">
      <c r="L134" s="24"/>
      <c r="M134" s="23"/>
      <c r="N134" s="23"/>
      <c r="O134" s="23"/>
      <c r="P134" s="23"/>
    </row>
    <row r="135" spans="12:16" x14ac:dyDescent="0.45">
      <c r="L135" s="24"/>
      <c r="M135" s="23"/>
      <c r="N135" s="23"/>
      <c r="O135" s="23"/>
      <c r="P135" s="23"/>
    </row>
    <row r="136" spans="12:16" x14ac:dyDescent="0.45">
      <c r="L136" s="24"/>
      <c r="M136" s="23"/>
      <c r="N136" s="23"/>
      <c r="O136" s="23"/>
      <c r="P136" s="23"/>
    </row>
    <row r="137" spans="12:16" x14ac:dyDescent="0.45">
      <c r="L137" s="24"/>
      <c r="M137" s="23"/>
      <c r="N137" s="23"/>
      <c r="O137" s="23"/>
      <c r="P137" s="23"/>
    </row>
    <row r="138" spans="12:16" x14ac:dyDescent="0.45">
      <c r="L138" s="24"/>
      <c r="M138" s="23"/>
      <c r="N138" s="23"/>
      <c r="O138" s="23"/>
      <c r="P138" s="23"/>
    </row>
    <row r="139" spans="12:16" x14ac:dyDescent="0.45">
      <c r="L139" s="24"/>
      <c r="M139" s="23"/>
      <c r="N139" s="23"/>
      <c r="O139" s="23"/>
      <c r="P139" s="23"/>
    </row>
    <row r="140" spans="12:16" x14ac:dyDescent="0.45">
      <c r="L140" s="24"/>
      <c r="M140" s="23"/>
      <c r="N140" s="23"/>
      <c r="O140" s="23"/>
      <c r="P140" s="23"/>
    </row>
    <row r="141" spans="12:16" x14ac:dyDescent="0.45">
      <c r="L141" s="24"/>
      <c r="M141" s="23"/>
      <c r="N141" s="23"/>
      <c r="O141" s="23"/>
      <c r="P141" s="23"/>
    </row>
    <row r="142" spans="12:16" x14ac:dyDescent="0.45">
      <c r="L142" s="24"/>
      <c r="M142" s="23"/>
      <c r="N142" s="23"/>
      <c r="O142" s="23"/>
      <c r="P142" s="23"/>
    </row>
    <row r="143" spans="12:16" x14ac:dyDescent="0.45">
      <c r="L143" s="24"/>
      <c r="M143" s="23"/>
      <c r="N143" s="23"/>
      <c r="O143" s="23"/>
      <c r="P143" s="23"/>
    </row>
    <row r="144" spans="12:16" x14ac:dyDescent="0.45">
      <c r="L144" s="24"/>
      <c r="M144" s="23"/>
      <c r="N144" s="23"/>
      <c r="O144" s="23"/>
      <c r="P144" s="23"/>
    </row>
    <row r="145" spans="12:16" x14ac:dyDescent="0.45">
      <c r="L145" s="24"/>
      <c r="M145" s="23"/>
      <c r="N145" s="23"/>
      <c r="O145" s="23"/>
      <c r="P145" s="23"/>
    </row>
    <row r="146" spans="12:16" x14ac:dyDescent="0.45">
      <c r="L146" s="24"/>
      <c r="M146" s="23"/>
      <c r="N146" s="23"/>
      <c r="O146" s="23"/>
      <c r="P146" s="23"/>
    </row>
    <row r="147" spans="12:16" x14ac:dyDescent="0.45">
      <c r="L147" s="24"/>
      <c r="M147" s="23"/>
      <c r="N147" s="23"/>
      <c r="O147" s="23"/>
      <c r="P147" s="23"/>
    </row>
    <row r="148" spans="12:16" x14ac:dyDescent="0.45">
      <c r="L148" s="24"/>
      <c r="M148" s="23"/>
      <c r="N148" s="23"/>
      <c r="O148" s="23"/>
      <c r="P148" s="23"/>
    </row>
    <row r="149" spans="12:16" x14ac:dyDescent="0.45">
      <c r="L149" s="24"/>
      <c r="M149" s="23"/>
      <c r="N149" s="23"/>
      <c r="O149" s="23"/>
      <c r="P149" s="23"/>
    </row>
    <row r="150" spans="12:16" x14ac:dyDescent="0.45">
      <c r="L150" s="24"/>
      <c r="M150" s="23"/>
      <c r="N150" s="23"/>
      <c r="O150" s="23"/>
      <c r="P150" s="23"/>
    </row>
    <row r="151" spans="12:16" x14ac:dyDescent="0.45">
      <c r="L151" s="24"/>
      <c r="M151" s="23"/>
      <c r="N151" s="23"/>
      <c r="O151" s="23"/>
      <c r="P151" s="23"/>
    </row>
    <row r="152" spans="12:16" x14ac:dyDescent="0.45">
      <c r="L152" s="24"/>
      <c r="M152" s="23"/>
      <c r="N152" s="23"/>
      <c r="O152" s="23"/>
      <c r="P152" s="23"/>
    </row>
    <row r="153" spans="12:16" x14ac:dyDescent="0.45">
      <c r="L153" s="24"/>
      <c r="M153" s="23"/>
      <c r="N153" s="23"/>
      <c r="O153" s="23"/>
      <c r="P153" s="23"/>
    </row>
    <row r="154" spans="12:16" x14ac:dyDescent="0.45">
      <c r="L154" s="24"/>
      <c r="M154" s="23"/>
      <c r="N154" s="23"/>
      <c r="O154" s="23"/>
      <c r="P154" s="23"/>
    </row>
    <row r="155" spans="12:16" x14ac:dyDescent="0.45">
      <c r="L155" s="24"/>
      <c r="M155" s="23"/>
      <c r="N155" s="23"/>
      <c r="O155" s="23"/>
      <c r="P155" s="23"/>
    </row>
    <row r="156" spans="12:16" x14ac:dyDescent="0.45">
      <c r="L156" s="24"/>
      <c r="M156" s="23"/>
      <c r="N156" s="23"/>
      <c r="O156" s="23"/>
      <c r="P156" s="23"/>
    </row>
    <row r="157" spans="12:16" x14ac:dyDescent="0.45">
      <c r="L157" s="24"/>
      <c r="M157" s="23"/>
      <c r="N157" s="23"/>
      <c r="O157" s="23"/>
      <c r="P157" s="23"/>
    </row>
    <row r="158" spans="12:16" x14ac:dyDescent="0.45">
      <c r="L158" s="24"/>
      <c r="M158" s="23"/>
      <c r="N158" s="23"/>
      <c r="O158" s="23"/>
      <c r="P158" s="23"/>
    </row>
    <row r="159" spans="12:16" x14ac:dyDescent="0.45">
      <c r="L159" s="24"/>
      <c r="M159" s="23"/>
      <c r="N159" s="23"/>
      <c r="O159" s="23"/>
      <c r="P159" s="23"/>
    </row>
    <row r="160" spans="12:16" x14ac:dyDescent="0.45">
      <c r="L160" s="24"/>
      <c r="M160" s="23"/>
      <c r="N160" s="23"/>
      <c r="O160" s="23"/>
      <c r="P160" s="23"/>
    </row>
    <row r="161" spans="12:16" x14ac:dyDescent="0.45">
      <c r="L161" s="24"/>
      <c r="M161" s="23"/>
      <c r="N161" s="23"/>
      <c r="O161" s="23"/>
      <c r="P161" s="23"/>
    </row>
    <row r="162" spans="12:16" x14ac:dyDescent="0.45">
      <c r="L162" s="24"/>
      <c r="M162" s="23"/>
      <c r="N162" s="23"/>
      <c r="O162" s="23"/>
      <c r="P162" s="23"/>
    </row>
    <row r="163" spans="12:16" x14ac:dyDescent="0.45">
      <c r="L163" s="24"/>
      <c r="M163" s="23"/>
      <c r="N163" s="23"/>
      <c r="O163" s="23"/>
      <c r="P163" s="23"/>
    </row>
    <row r="164" spans="12:16" x14ac:dyDescent="0.45">
      <c r="L164" s="24"/>
      <c r="M164" s="23"/>
      <c r="N164" s="23"/>
      <c r="O164" s="23"/>
      <c r="P164" s="23"/>
    </row>
    <row r="165" spans="12:16" x14ac:dyDescent="0.45">
      <c r="L165" s="24"/>
      <c r="M165" s="23"/>
      <c r="N165" s="23"/>
      <c r="O165" s="23"/>
      <c r="P165" s="23"/>
    </row>
    <row r="166" spans="12:16" x14ac:dyDescent="0.45">
      <c r="L166" s="24"/>
      <c r="M166" s="23"/>
      <c r="N166" s="23"/>
      <c r="O166" s="23"/>
      <c r="P166" s="23"/>
    </row>
    <row r="167" spans="12:16" x14ac:dyDescent="0.45">
      <c r="L167" s="24"/>
      <c r="M167" s="23"/>
      <c r="N167" s="23"/>
      <c r="O167" s="23"/>
      <c r="P167" s="23"/>
    </row>
    <row r="168" spans="12:16" x14ac:dyDescent="0.45">
      <c r="L168" s="24"/>
      <c r="M168" s="23"/>
      <c r="N168" s="23"/>
      <c r="O168" s="23"/>
      <c r="P168" s="23"/>
    </row>
    <row r="169" spans="12:16" x14ac:dyDescent="0.45">
      <c r="L169" s="24"/>
      <c r="M169" s="23"/>
      <c r="N169" s="23"/>
      <c r="O169" s="23"/>
      <c r="P169" s="23"/>
    </row>
    <row r="170" spans="12:16" x14ac:dyDescent="0.45">
      <c r="L170" s="24"/>
      <c r="M170" s="23"/>
      <c r="N170" s="23"/>
      <c r="O170" s="23"/>
      <c r="P170" s="23"/>
    </row>
    <row r="171" spans="12:16" x14ac:dyDescent="0.45">
      <c r="L171" s="24"/>
      <c r="M171" s="23"/>
      <c r="N171" s="23"/>
      <c r="O171" s="23"/>
      <c r="P171" s="23"/>
    </row>
    <row r="172" spans="12:16" x14ac:dyDescent="0.45">
      <c r="L172" s="24"/>
      <c r="M172" s="23"/>
      <c r="N172" s="23"/>
      <c r="O172" s="23"/>
      <c r="P172" s="23"/>
    </row>
    <row r="173" spans="12:16" x14ac:dyDescent="0.45">
      <c r="L173" s="24"/>
      <c r="M173" s="23"/>
      <c r="N173" s="23"/>
      <c r="O173" s="23"/>
      <c r="P173" s="23"/>
    </row>
    <row r="174" spans="12:16" x14ac:dyDescent="0.45">
      <c r="L174" s="24"/>
      <c r="M174" s="23"/>
      <c r="N174" s="23"/>
      <c r="O174" s="23"/>
      <c r="P174" s="23"/>
    </row>
    <row r="175" spans="12:16" x14ac:dyDescent="0.45">
      <c r="L175" s="24"/>
      <c r="M175" s="23"/>
      <c r="N175" s="23"/>
      <c r="O175" s="23"/>
      <c r="P175" s="23"/>
    </row>
    <row r="176" spans="12:16" x14ac:dyDescent="0.45">
      <c r="L176" s="24"/>
      <c r="M176" s="23"/>
      <c r="N176" s="23"/>
      <c r="O176" s="23"/>
      <c r="P176" s="23"/>
    </row>
    <row r="177" spans="12:16" x14ac:dyDescent="0.45">
      <c r="L177" s="24"/>
      <c r="M177" s="23"/>
      <c r="N177" s="23"/>
      <c r="O177" s="23"/>
      <c r="P177" s="23"/>
    </row>
    <row r="178" spans="12:16" x14ac:dyDescent="0.45">
      <c r="L178" s="24"/>
      <c r="M178" s="23"/>
      <c r="N178" s="23"/>
      <c r="O178" s="23"/>
      <c r="P178" s="23"/>
    </row>
    <row r="179" spans="12:16" x14ac:dyDescent="0.45">
      <c r="L179" s="24"/>
      <c r="M179" s="23"/>
      <c r="N179" s="23"/>
      <c r="O179" s="23"/>
      <c r="P179" s="23"/>
    </row>
    <row r="180" spans="12:16" x14ac:dyDescent="0.45">
      <c r="L180" s="24"/>
      <c r="M180" s="23"/>
      <c r="N180" s="23"/>
      <c r="O180" s="23"/>
      <c r="P180" s="23"/>
    </row>
    <row r="181" spans="12:16" x14ac:dyDescent="0.45">
      <c r="L181" s="24"/>
      <c r="M181" s="23"/>
      <c r="N181" s="23"/>
      <c r="O181" s="23"/>
      <c r="P181" s="23"/>
    </row>
    <row r="182" spans="12:16" x14ac:dyDescent="0.45">
      <c r="L182" s="24"/>
      <c r="M182" s="23"/>
      <c r="N182" s="23"/>
      <c r="O182" s="23"/>
      <c r="P182" s="23"/>
    </row>
    <row r="183" spans="12:16" x14ac:dyDescent="0.45">
      <c r="L183" s="24"/>
      <c r="M183" s="23"/>
      <c r="N183" s="23"/>
      <c r="O183" s="23"/>
      <c r="P183" s="23"/>
    </row>
    <row r="184" spans="12:16" x14ac:dyDescent="0.45">
      <c r="L184" s="24"/>
      <c r="M184" s="23"/>
      <c r="N184" s="23"/>
      <c r="O184" s="23"/>
      <c r="P184" s="23"/>
    </row>
    <row r="185" spans="12:16" x14ac:dyDescent="0.45">
      <c r="L185" s="24"/>
      <c r="M185" s="23"/>
      <c r="N185" s="23"/>
      <c r="O185" s="23"/>
      <c r="P185" s="23"/>
    </row>
    <row r="186" spans="12:16" x14ac:dyDescent="0.45">
      <c r="L186" s="24"/>
      <c r="M186" s="23"/>
      <c r="N186" s="23"/>
      <c r="O186" s="23"/>
      <c r="P186" s="23"/>
    </row>
    <row r="187" spans="12:16" x14ac:dyDescent="0.45">
      <c r="L187" s="24"/>
      <c r="M187" s="23"/>
      <c r="N187" s="23"/>
      <c r="O187" s="23"/>
      <c r="P187" s="23"/>
    </row>
    <row r="188" spans="12:16" x14ac:dyDescent="0.45">
      <c r="L188" s="24"/>
      <c r="M188" s="23"/>
      <c r="N188" s="23"/>
      <c r="O188" s="23"/>
      <c r="P188" s="23"/>
    </row>
    <row r="189" spans="12:16" x14ac:dyDescent="0.45">
      <c r="L189" s="24"/>
      <c r="M189" s="23"/>
      <c r="N189" s="23"/>
      <c r="O189" s="23"/>
      <c r="P189" s="23"/>
    </row>
    <row r="190" spans="12:16" x14ac:dyDescent="0.45">
      <c r="L190" s="24"/>
      <c r="M190" s="23"/>
      <c r="N190" s="23"/>
      <c r="O190" s="23"/>
      <c r="P190" s="23"/>
    </row>
    <row r="191" spans="12:16" x14ac:dyDescent="0.45">
      <c r="L191" s="24"/>
      <c r="M191" s="23"/>
      <c r="N191" s="23"/>
      <c r="O191" s="23"/>
      <c r="P191" s="23"/>
    </row>
    <row r="192" spans="12:16" x14ac:dyDescent="0.45">
      <c r="L192" s="24"/>
      <c r="M192" s="23"/>
      <c r="N192" s="23"/>
      <c r="O192" s="23"/>
      <c r="P192" s="23"/>
    </row>
    <row r="193" spans="12:16" x14ac:dyDescent="0.45">
      <c r="L193" s="24"/>
      <c r="M193" s="23"/>
      <c r="N193" s="23"/>
      <c r="O193" s="23"/>
      <c r="P193" s="23"/>
    </row>
    <row r="194" spans="12:16" x14ac:dyDescent="0.45">
      <c r="L194" s="24"/>
      <c r="M194" s="23"/>
      <c r="N194" s="23"/>
      <c r="O194" s="23"/>
      <c r="P194" s="23"/>
    </row>
    <row r="195" spans="12:16" x14ac:dyDescent="0.45">
      <c r="L195" s="24"/>
      <c r="M195" s="23"/>
      <c r="N195" s="23"/>
      <c r="O195" s="23"/>
      <c r="P195" s="23"/>
    </row>
    <row r="196" spans="12:16" x14ac:dyDescent="0.45">
      <c r="L196" s="24"/>
      <c r="M196" s="23"/>
      <c r="N196" s="23"/>
      <c r="O196" s="23"/>
      <c r="P196" s="23"/>
    </row>
    <row r="197" spans="12:16" x14ac:dyDescent="0.45">
      <c r="L197" s="24"/>
      <c r="M197" s="23"/>
      <c r="N197" s="23"/>
      <c r="O197" s="23"/>
      <c r="P197" s="23"/>
    </row>
    <row r="198" spans="12:16" x14ac:dyDescent="0.45">
      <c r="L198" s="24"/>
      <c r="M198" s="23"/>
      <c r="N198" s="23"/>
      <c r="O198" s="23"/>
      <c r="P198" s="23"/>
    </row>
    <row r="199" spans="12:16" x14ac:dyDescent="0.45">
      <c r="L199" s="24"/>
      <c r="M199" s="23"/>
      <c r="N199" s="23"/>
      <c r="O199" s="23"/>
      <c r="P199" s="23"/>
    </row>
    <row r="200" spans="12:16" x14ac:dyDescent="0.45">
      <c r="L200" s="24"/>
      <c r="M200" s="23"/>
      <c r="N200" s="23"/>
      <c r="O200" s="23"/>
      <c r="P200" s="23"/>
    </row>
    <row r="201" spans="12:16" x14ac:dyDescent="0.45">
      <c r="L201" s="24"/>
      <c r="M201" s="23"/>
      <c r="N201" s="23"/>
      <c r="O201" s="23"/>
      <c r="P201" s="23"/>
    </row>
    <row r="202" spans="12:16" x14ac:dyDescent="0.45">
      <c r="L202" s="24"/>
      <c r="M202" s="23"/>
      <c r="N202" s="23"/>
      <c r="O202" s="23"/>
      <c r="P202" s="23"/>
    </row>
    <row r="203" spans="12:16" x14ac:dyDescent="0.45">
      <c r="L203" s="24"/>
      <c r="M203" s="23"/>
      <c r="N203" s="23"/>
      <c r="O203" s="23"/>
      <c r="P203" s="23"/>
    </row>
    <row r="204" spans="12:16" x14ac:dyDescent="0.45">
      <c r="L204" s="24"/>
      <c r="M204" s="23"/>
      <c r="N204" s="23"/>
      <c r="O204" s="23"/>
      <c r="P204" s="23"/>
    </row>
    <row r="205" spans="12:16" x14ac:dyDescent="0.45">
      <c r="L205" s="24"/>
      <c r="M205" s="23"/>
      <c r="N205" s="23"/>
      <c r="O205" s="23"/>
      <c r="P205" s="23"/>
    </row>
    <row r="206" spans="12:16" x14ac:dyDescent="0.45">
      <c r="L206" s="24"/>
      <c r="M206" s="23"/>
      <c r="N206" s="23"/>
      <c r="O206" s="23"/>
      <c r="P206" s="23"/>
    </row>
    <row r="207" spans="12:16" x14ac:dyDescent="0.45">
      <c r="L207" s="24"/>
      <c r="M207" s="23"/>
      <c r="N207" s="23"/>
      <c r="O207" s="23"/>
      <c r="P207" s="23"/>
    </row>
    <row r="208" spans="12:16" x14ac:dyDescent="0.45">
      <c r="L208" s="24"/>
      <c r="M208" s="23"/>
      <c r="N208" s="23"/>
      <c r="O208" s="23"/>
      <c r="P208" s="23"/>
    </row>
    <row r="209" spans="12:16" x14ac:dyDescent="0.45">
      <c r="L209" s="24"/>
      <c r="M209" s="23"/>
      <c r="N209" s="23"/>
      <c r="O209" s="23"/>
      <c r="P209" s="23"/>
    </row>
    <row r="210" spans="12:16" x14ac:dyDescent="0.45">
      <c r="L210" s="24"/>
      <c r="M210" s="23"/>
      <c r="N210" s="23"/>
      <c r="O210" s="23"/>
      <c r="P210" s="23"/>
    </row>
    <row r="211" spans="12:16" x14ac:dyDescent="0.45">
      <c r="L211" s="24"/>
      <c r="M211" s="23"/>
      <c r="N211" s="23"/>
      <c r="O211" s="23"/>
      <c r="P211" s="23"/>
    </row>
    <row r="212" spans="12:16" x14ac:dyDescent="0.45">
      <c r="L212" s="24"/>
      <c r="M212" s="23"/>
      <c r="N212" s="23"/>
      <c r="O212" s="23"/>
      <c r="P212" s="23"/>
    </row>
    <row r="213" spans="12:16" x14ac:dyDescent="0.45">
      <c r="L213" s="24"/>
      <c r="M213" s="23"/>
      <c r="N213" s="23"/>
      <c r="O213" s="23"/>
      <c r="P213" s="23"/>
    </row>
    <row r="214" spans="12:16" x14ac:dyDescent="0.45">
      <c r="L214" s="24"/>
      <c r="M214" s="23"/>
      <c r="N214" s="23"/>
      <c r="O214" s="23"/>
      <c r="P214" s="23"/>
    </row>
    <row r="215" spans="12:16" x14ac:dyDescent="0.45">
      <c r="L215" s="24"/>
      <c r="M215" s="23"/>
      <c r="N215" s="23"/>
      <c r="O215" s="23"/>
      <c r="P215" s="23"/>
    </row>
    <row r="216" spans="12:16" x14ac:dyDescent="0.45">
      <c r="L216" s="24"/>
      <c r="M216" s="23"/>
      <c r="N216" s="23"/>
      <c r="O216" s="23"/>
      <c r="P216" s="23"/>
    </row>
    <row r="217" spans="12:16" x14ac:dyDescent="0.45">
      <c r="L217" s="24"/>
      <c r="M217" s="23"/>
      <c r="N217" s="23"/>
      <c r="O217" s="23"/>
      <c r="P217" s="23"/>
    </row>
    <row r="218" spans="12:16" x14ac:dyDescent="0.45">
      <c r="L218" s="24"/>
      <c r="M218" s="23"/>
      <c r="N218" s="23"/>
      <c r="O218" s="23"/>
      <c r="P218" s="23"/>
    </row>
    <row r="219" spans="12:16" x14ac:dyDescent="0.45">
      <c r="L219" s="24"/>
      <c r="M219" s="23"/>
      <c r="N219" s="23"/>
      <c r="O219" s="23"/>
      <c r="P219" s="23"/>
    </row>
    <row r="220" spans="12:16" x14ac:dyDescent="0.45">
      <c r="L220" s="24"/>
      <c r="M220" s="23"/>
      <c r="N220" s="23"/>
      <c r="O220" s="23"/>
      <c r="P220" s="23"/>
    </row>
    <row r="221" spans="12:16" x14ac:dyDescent="0.45">
      <c r="L221" s="24"/>
      <c r="M221" s="23"/>
      <c r="N221" s="23"/>
      <c r="O221" s="23"/>
      <c r="P221" s="23"/>
    </row>
    <row r="222" spans="12:16" x14ac:dyDescent="0.45">
      <c r="L222" s="24"/>
      <c r="M222" s="23"/>
      <c r="N222" s="23"/>
      <c r="O222" s="23"/>
      <c r="P222" s="23"/>
    </row>
    <row r="223" spans="12:16" x14ac:dyDescent="0.45">
      <c r="L223" s="24"/>
      <c r="M223" s="23"/>
      <c r="N223" s="23"/>
      <c r="O223" s="23"/>
      <c r="P223" s="23"/>
    </row>
    <row r="224" spans="12:16" x14ac:dyDescent="0.45">
      <c r="L224" s="24"/>
      <c r="M224" s="23"/>
      <c r="N224" s="23"/>
      <c r="O224" s="23"/>
      <c r="P224" s="23"/>
    </row>
    <row r="225" spans="12:16" x14ac:dyDescent="0.45">
      <c r="L225" s="24"/>
      <c r="M225" s="23"/>
      <c r="N225" s="23"/>
      <c r="O225" s="23"/>
      <c r="P225" s="23"/>
    </row>
    <row r="226" spans="12:16" x14ac:dyDescent="0.45">
      <c r="L226" s="24"/>
      <c r="M226" s="23"/>
      <c r="N226" s="23"/>
      <c r="O226" s="23"/>
      <c r="P226" s="23"/>
    </row>
    <row r="227" spans="12:16" x14ac:dyDescent="0.45">
      <c r="L227" s="24"/>
      <c r="M227" s="23"/>
      <c r="N227" s="23"/>
      <c r="O227" s="23"/>
      <c r="P227" s="23"/>
    </row>
    <row r="228" spans="12:16" x14ac:dyDescent="0.45">
      <c r="L228" s="24"/>
      <c r="M228" s="23"/>
      <c r="N228" s="23"/>
      <c r="O228" s="23"/>
      <c r="P228" s="23"/>
    </row>
    <row r="229" spans="12:16" x14ac:dyDescent="0.45">
      <c r="L229" s="24"/>
      <c r="M229" s="23"/>
      <c r="N229" s="23"/>
      <c r="O229" s="23"/>
      <c r="P229" s="23"/>
    </row>
    <row r="230" spans="12:16" x14ac:dyDescent="0.45">
      <c r="L230" s="24"/>
      <c r="M230" s="23"/>
      <c r="N230" s="23"/>
      <c r="O230" s="23"/>
      <c r="P230" s="23"/>
    </row>
    <row r="231" spans="12:16" x14ac:dyDescent="0.45">
      <c r="L231" s="24"/>
      <c r="M231" s="23"/>
      <c r="N231" s="23"/>
      <c r="O231" s="23"/>
      <c r="P231" s="23"/>
    </row>
    <row r="232" spans="12:16" x14ac:dyDescent="0.45">
      <c r="L232" s="24"/>
      <c r="M232" s="23"/>
      <c r="N232" s="23"/>
      <c r="O232" s="23"/>
      <c r="P232" s="23"/>
    </row>
    <row r="233" spans="12:16" x14ac:dyDescent="0.45">
      <c r="L233" s="24"/>
      <c r="M233" s="23"/>
      <c r="N233" s="23"/>
      <c r="O233" s="23"/>
      <c r="P233" s="23"/>
    </row>
    <row r="234" spans="12:16" x14ac:dyDescent="0.45">
      <c r="L234" s="24"/>
      <c r="M234" s="23"/>
      <c r="N234" s="23"/>
      <c r="O234" s="23"/>
      <c r="P234" s="23"/>
    </row>
    <row r="235" spans="12:16" x14ac:dyDescent="0.45">
      <c r="L235" s="24"/>
      <c r="M235" s="23"/>
      <c r="N235" s="23"/>
      <c r="O235" s="23"/>
      <c r="P235" s="23"/>
    </row>
    <row r="236" spans="12:16" x14ac:dyDescent="0.45">
      <c r="L236" s="24"/>
      <c r="M236" s="23"/>
      <c r="N236" s="23"/>
      <c r="O236" s="23"/>
      <c r="P236" s="23"/>
    </row>
    <row r="237" spans="12:16" x14ac:dyDescent="0.45">
      <c r="L237" s="24"/>
      <c r="M237" s="23"/>
      <c r="N237" s="23"/>
      <c r="O237" s="23"/>
      <c r="P237" s="23"/>
    </row>
    <row r="238" spans="12:16" x14ac:dyDescent="0.45">
      <c r="L238" s="24"/>
      <c r="M238" s="23"/>
      <c r="N238" s="23"/>
      <c r="O238" s="23"/>
      <c r="P238" s="23"/>
    </row>
    <row r="239" spans="12:16" x14ac:dyDescent="0.45">
      <c r="L239" s="24"/>
      <c r="M239" s="23"/>
      <c r="N239" s="23"/>
      <c r="O239" s="23"/>
      <c r="P239" s="23"/>
    </row>
    <row r="240" spans="12:16" x14ac:dyDescent="0.45">
      <c r="L240" s="24"/>
      <c r="M240" s="23"/>
      <c r="N240" s="23"/>
      <c r="O240" s="23"/>
      <c r="P240" s="23"/>
    </row>
    <row r="241" spans="12:16" x14ac:dyDescent="0.45">
      <c r="L241" s="24"/>
      <c r="M241" s="23"/>
      <c r="N241" s="23"/>
      <c r="O241" s="23"/>
      <c r="P241" s="23"/>
    </row>
    <row r="242" spans="12:16" x14ac:dyDescent="0.45">
      <c r="L242" s="24"/>
      <c r="M242" s="23"/>
      <c r="N242" s="23"/>
      <c r="O242" s="23"/>
      <c r="P242" s="23"/>
    </row>
    <row r="243" spans="12:16" x14ac:dyDescent="0.45">
      <c r="L243" s="24"/>
      <c r="M243" s="23"/>
      <c r="N243" s="23"/>
      <c r="O243" s="23"/>
      <c r="P243" s="23"/>
    </row>
    <row r="244" spans="12:16" x14ac:dyDescent="0.45">
      <c r="L244" s="24"/>
      <c r="M244" s="23"/>
      <c r="N244" s="23"/>
      <c r="O244" s="23"/>
      <c r="P244" s="23"/>
    </row>
    <row r="245" spans="12:16" x14ac:dyDescent="0.45">
      <c r="L245" s="24"/>
      <c r="M245" s="23"/>
      <c r="N245" s="23"/>
      <c r="O245" s="23"/>
      <c r="P245" s="23"/>
    </row>
    <row r="246" spans="12:16" x14ac:dyDescent="0.45">
      <c r="L246" s="24"/>
      <c r="M246" s="23"/>
      <c r="N246" s="23"/>
      <c r="O246" s="23"/>
      <c r="P246" s="23"/>
    </row>
    <row r="247" spans="12:16" x14ac:dyDescent="0.45">
      <c r="L247" s="24"/>
      <c r="M247" s="23"/>
      <c r="N247" s="23"/>
      <c r="O247" s="23"/>
      <c r="P247" s="23"/>
    </row>
    <row r="248" spans="12:16" x14ac:dyDescent="0.45">
      <c r="L248" s="24"/>
      <c r="M248" s="23"/>
      <c r="N248" s="23"/>
      <c r="O248" s="23"/>
      <c r="P248" s="23"/>
    </row>
    <row r="249" spans="12:16" x14ac:dyDescent="0.45">
      <c r="L249" s="24"/>
      <c r="M249" s="23"/>
      <c r="N249" s="23"/>
      <c r="O249" s="23"/>
      <c r="P249" s="23"/>
    </row>
    <row r="250" spans="12:16" x14ac:dyDescent="0.45">
      <c r="L250" s="24"/>
      <c r="M250" s="23"/>
      <c r="N250" s="23"/>
      <c r="O250" s="23"/>
      <c r="P250" s="23"/>
    </row>
    <row r="251" spans="12:16" x14ac:dyDescent="0.45">
      <c r="L251" s="24"/>
      <c r="M251" s="23"/>
      <c r="N251" s="23"/>
      <c r="O251" s="23"/>
      <c r="P251" s="23"/>
    </row>
    <row r="252" spans="12:16" x14ac:dyDescent="0.45">
      <c r="L252" s="24"/>
      <c r="M252" s="23"/>
      <c r="N252" s="23"/>
      <c r="O252" s="23"/>
      <c r="P252" s="23"/>
    </row>
    <row r="253" spans="12:16" x14ac:dyDescent="0.45">
      <c r="L253" s="24"/>
      <c r="M253" s="23"/>
      <c r="N253" s="23"/>
      <c r="O253" s="23"/>
      <c r="P253" s="23"/>
    </row>
    <row r="254" spans="12:16" x14ac:dyDescent="0.45">
      <c r="L254" s="24"/>
      <c r="M254" s="23"/>
      <c r="N254" s="23"/>
      <c r="O254" s="23"/>
      <c r="P254" s="23"/>
    </row>
    <row r="255" spans="12:16" x14ac:dyDescent="0.45">
      <c r="L255" s="24"/>
      <c r="M255" s="23"/>
      <c r="N255" s="23"/>
      <c r="O255" s="23"/>
      <c r="P255" s="23"/>
    </row>
    <row r="256" spans="12:16" x14ac:dyDescent="0.45">
      <c r="L256" s="24"/>
      <c r="M256" s="23"/>
      <c r="N256" s="23"/>
      <c r="O256" s="23"/>
      <c r="P256" s="23"/>
    </row>
    <row r="257" spans="12:16" x14ac:dyDescent="0.45">
      <c r="L257" s="24"/>
      <c r="M257" s="23"/>
      <c r="N257" s="23"/>
      <c r="O257" s="23"/>
      <c r="P257" s="23"/>
    </row>
    <row r="258" spans="12:16" x14ac:dyDescent="0.45">
      <c r="L258" s="24"/>
      <c r="M258" s="23"/>
      <c r="N258" s="23"/>
      <c r="O258" s="23"/>
      <c r="P258" s="23"/>
    </row>
    <row r="259" spans="12:16" x14ac:dyDescent="0.45">
      <c r="L259" s="24"/>
      <c r="M259" s="23"/>
      <c r="N259" s="23"/>
      <c r="O259" s="23"/>
      <c r="P259" s="23"/>
    </row>
    <row r="260" spans="12:16" x14ac:dyDescent="0.45">
      <c r="L260" s="24"/>
      <c r="M260" s="23"/>
      <c r="N260" s="23"/>
      <c r="O260" s="23"/>
      <c r="P260" s="23"/>
    </row>
    <row r="261" spans="12:16" x14ac:dyDescent="0.45">
      <c r="L261" s="24"/>
      <c r="M261" s="23"/>
      <c r="N261" s="23"/>
      <c r="O261" s="23"/>
      <c r="P261" s="23"/>
    </row>
    <row r="262" spans="12:16" x14ac:dyDescent="0.45">
      <c r="L262" s="24"/>
      <c r="M262" s="23"/>
      <c r="N262" s="23"/>
      <c r="O262" s="23"/>
      <c r="P262" s="23"/>
    </row>
    <row r="263" spans="12:16" x14ac:dyDescent="0.45">
      <c r="L263" s="24"/>
      <c r="M263" s="23"/>
      <c r="N263" s="23"/>
      <c r="O263" s="23"/>
      <c r="P263" s="23"/>
    </row>
    <row r="264" spans="12:16" x14ac:dyDescent="0.45">
      <c r="L264" s="24"/>
      <c r="M264" s="23"/>
      <c r="N264" s="23"/>
      <c r="O264" s="23"/>
      <c r="P264" s="23"/>
    </row>
    <row r="265" spans="12:16" x14ac:dyDescent="0.45">
      <c r="L265" s="24"/>
      <c r="M265" s="23"/>
      <c r="N265" s="23"/>
      <c r="O265" s="23"/>
      <c r="P265" s="23"/>
    </row>
    <row r="266" spans="12:16" x14ac:dyDescent="0.45">
      <c r="L266" s="24"/>
      <c r="M266" s="23"/>
      <c r="N266" s="23"/>
      <c r="O266" s="23"/>
      <c r="P266" s="23"/>
    </row>
    <row r="267" spans="12:16" x14ac:dyDescent="0.45">
      <c r="L267" s="24"/>
      <c r="M267" s="23"/>
      <c r="N267" s="23"/>
      <c r="O267" s="23"/>
      <c r="P267" s="23"/>
    </row>
    <row r="268" spans="12:16" x14ac:dyDescent="0.45">
      <c r="L268" s="24"/>
      <c r="M268" s="23"/>
      <c r="N268" s="23"/>
      <c r="O268" s="23"/>
      <c r="P268" s="23"/>
    </row>
    <row r="269" spans="12:16" x14ac:dyDescent="0.45">
      <c r="L269" s="24"/>
      <c r="M269" s="23"/>
      <c r="N269" s="23"/>
      <c r="O269" s="23"/>
      <c r="P269" s="23"/>
    </row>
    <row r="270" spans="12:16" x14ac:dyDescent="0.45">
      <c r="L270" s="24"/>
      <c r="M270" s="23"/>
      <c r="N270" s="23"/>
      <c r="O270" s="23"/>
      <c r="P270" s="23"/>
    </row>
    <row r="271" spans="12:16" x14ac:dyDescent="0.45">
      <c r="L271" s="24"/>
      <c r="M271" s="23"/>
      <c r="N271" s="23"/>
      <c r="O271" s="23"/>
      <c r="P271" s="23"/>
    </row>
    <row r="272" spans="12:16" x14ac:dyDescent="0.45">
      <c r="L272" s="24"/>
      <c r="M272" s="23"/>
      <c r="N272" s="23"/>
      <c r="O272" s="23"/>
      <c r="P272" s="23"/>
    </row>
    <row r="273" spans="12:16" x14ac:dyDescent="0.45">
      <c r="L273" s="24"/>
      <c r="M273" s="23"/>
      <c r="N273" s="23"/>
      <c r="O273" s="23"/>
      <c r="P273" s="23"/>
    </row>
    <row r="274" spans="12:16" x14ac:dyDescent="0.45">
      <c r="L274" s="24"/>
      <c r="M274" s="23"/>
      <c r="N274" s="23"/>
      <c r="O274" s="23"/>
      <c r="P274" s="23"/>
    </row>
    <row r="275" spans="12:16" x14ac:dyDescent="0.45">
      <c r="L275" s="24"/>
      <c r="M275" s="23"/>
      <c r="N275" s="23"/>
      <c r="O275" s="23"/>
      <c r="P275" s="23"/>
    </row>
    <row r="276" spans="12:16" x14ac:dyDescent="0.45">
      <c r="L276" s="24"/>
      <c r="M276" s="23"/>
      <c r="N276" s="23"/>
      <c r="O276" s="23"/>
      <c r="P276" s="23"/>
    </row>
    <row r="277" spans="12:16" x14ac:dyDescent="0.45">
      <c r="L277" s="24"/>
      <c r="M277" s="23"/>
      <c r="N277" s="23"/>
      <c r="O277" s="23"/>
      <c r="P277" s="23"/>
    </row>
    <row r="278" spans="12:16" x14ac:dyDescent="0.45">
      <c r="L278" s="24"/>
      <c r="M278" s="23"/>
      <c r="N278" s="23"/>
      <c r="O278" s="23"/>
      <c r="P278" s="23"/>
    </row>
    <row r="279" spans="12:16" x14ac:dyDescent="0.45">
      <c r="L279" s="24"/>
      <c r="M279" s="23"/>
      <c r="N279" s="23"/>
      <c r="O279" s="23"/>
      <c r="P279" s="23"/>
    </row>
    <row r="280" spans="12:16" x14ac:dyDescent="0.45">
      <c r="L280" s="24"/>
      <c r="M280" s="23"/>
      <c r="N280" s="23"/>
      <c r="O280" s="23"/>
      <c r="P280" s="23"/>
    </row>
    <row r="281" spans="12:16" x14ac:dyDescent="0.45">
      <c r="L281" s="24"/>
      <c r="M281" s="23"/>
      <c r="N281" s="23"/>
      <c r="O281" s="23"/>
      <c r="P281" s="23"/>
    </row>
    <row r="282" spans="12:16" x14ac:dyDescent="0.45">
      <c r="L282" s="24"/>
      <c r="M282" s="23"/>
      <c r="N282" s="23"/>
      <c r="O282" s="23"/>
      <c r="P282" s="23"/>
    </row>
    <row r="283" spans="12:16" x14ac:dyDescent="0.45">
      <c r="L283" s="24"/>
      <c r="M283" s="23"/>
      <c r="N283" s="23"/>
      <c r="O283" s="23"/>
      <c r="P283" s="23"/>
    </row>
    <row r="284" spans="12:16" x14ac:dyDescent="0.45">
      <c r="L284" s="24"/>
      <c r="M284" s="23"/>
      <c r="N284" s="23"/>
      <c r="O284" s="23"/>
      <c r="P284" s="23"/>
    </row>
    <row r="285" spans="12:16" x14ac:dyDescent="0.45">
      <c r="L285" s="24"/>
      <c r="M285" s="23"/>
      <c r="N285" s="23"/>
      <c r="O285" s="23"/>
      <c r="P285" s="23"/>
    </row>
    <row r="286" spans="12:16" x14ac:dyDescent="0.45">
      <c r="L286" s="24"/>
      <c r="M286" s="23"/>
      <c r="N286" s="23"/>
      <c r="O286" s="23"/>
      <c r="P286" s="23"/>
    </row>
    <row r="287" spans="12:16" x14ac:dyDescent="0.45">
      <c r="L287" s="24"/>
      <c r="M287" s="23"/>
      <c r="N287" s="23"/>
      <c r="O287" s="23"/>
      <c r="P287" s="23"/>
    </row>
    <row r="288" spans="12:16" x14ac:dyDescent="0.45">
      <c r="L288" s="24"/>
      <c r="M288" s="23"/>
      <c r="N288" s="23"/>
      <c r="O288" s="23"/>
      <c r="P288" s="23"/>
    </row>
    <row r="289" spans="12:16" x14ac:dyDescent="0.45">
      <c r="L289" s="24"/>
      <c r="M289" s="23"/>
      <c r="N289" s="23"/>
      <c r="O289" s="23"/>
      <c r="P289" s="23"/>
    </row>
    <row r="290" spans="12:16" x14ac:dyDescent="0.45">
      <c r="L290" s="24"/>
      <c r="M290" s="23"/>
      <c r="N290" s="23"/>
      <c r="O290" s="23"/>
      <c r="P290" s="23"/>
    </row>
    <row r="291" spans="12:16" x14ac:dyDescent="0.45">
      <c r="L291" s="24"/>
      <c r="M291" s="23"/>
      <c r="N291" s="23"/>
      <c r="O291" s="23"/>
      <c r="P291" s="23"/>
    </row>
    <row r="292" spans="12:16" x14ac:dyDescent="0.45">
      <c r="L292" s="24"/>
      <c r="M292" s="23"/>
      <c r="N292" s="23"/>
      <c r="O292" s="23"/>
      <c r="P292" s="23"/>
    </row>
    <row r="293" spans="12:16" x14ac:dyDescent="0.45">
      <c r="L293" s="24"/>
      <c r="M293" s="23"/>
      <c r="N293" s="23"/>
      <c r="O293" s="23"/>
      <c r="P293" s="23"/>
    </row>
    <row r="294" spans="12:16" x14ac:dyDescent="0.45">
      <c r="L294" s="24"/>
      <c r="M294" s="23"/>
      <c r="N294" s="23"/>
      <c r="O294" s="23"/>
      <c r="P294" s="23"/>
    </row>
    <row r="295" spans="12:16" x14ac:dyDescent="0.45">
      <c r="L295" s="24"/>
      <c r="M295" s="23"/>
      <c r="N295" s="23"/>
      <c r="O295" s="23"/>
      <c r="P295" s="23"/>
    </row>
    <row r="296" spans="12:16" x14ac:dyDescent="0.45">
      <c r="L296" s="24"/>
      <c r="M296" s="23"/>
      <c r="N296" s="23"/>
      <c r="O296" s="23"/>
      <c r="P296" s="23"/>
    </row>
    <row r="297" spans="12:16" x14ac:dyDescent="0.45">
      <c r="L297" s="24"/>
      <c r="M297" s="23"/>
      <c r="N297" s="23"/>
      <c r="O297" s="23"/>
      <c r="P297" s="23"/>
    </row>
    <row r="298" spans="12:16" x14ac:dyDescent="0.45">
      <c r="L298" s="24"/>
      <c r="M298" s="23"/>
      <c r="N298" s="23"/>
      <c r="O298" s="23"/>
      <c r="P298" s="23"/>
    </row>
    <row r="299" spans="12:16" x14ac:dyDescent="0.45">
      <c r="L299" s="24"/>
      <c r="M299" s="23"/>
      <c r="N299" s="23"/>
      <c r="O299" s="23"/>
      <c r="P299" s="23"/>
    </row>
    <row r="300" spans="12:16" x14ac:dyDescent="0.45">
      <c r="L300" s="24"/>
      <c r="M300" s="23"/>
      <c r="N300" s="23"/>
      <c r="O300" s="23"/>
      <c r="P300" s="23"/>
    </row>
    <row r="301" spans="12:16" x14ac:dyDescent="0.45">
      <c r="L301" s="24"/>
      <c r="M301" s="23"/>
      <c r="N301" s="23"/>
      <c r="O301" s="23"/>
      <c r="P301" s="23"/>
    </row>
    <row r="302" spans="12:16" x14ac:dyDescent="0.45">
      <c r="L302" s="24"/>
      <c r="M302" s="23"/>
      <c r="N302" s="23"/>
      <c r="O302" s="23"/>
      <c r="P302" s="23"/>
    </row>
    <row r="303" spans="12:16" x14ac:dyDescent="0.45">
      <c r="L303" s="24"/>
      <c r="M303" s="23"/>
      <c r="N303" s="23"/>
      <c r="O303" s="23"/>
      <c r="P303" s="23"/>
    </row>
    <row r="304" spans="12:16" x14ac:dyDescent="0.45">
      <c r="L304" s="24"/>
      <c r="M304" s="23"/>
      <c r="N304" s="23"/>
      <c r="O304" s="23"/>
      <c r="P304" s="23"/>
    </row>
    <row r="305" spans="12:16" x14ac:dyDescent="0.45">
      <c r="L305" s="24"/>
      <c r="M305" s="23"/>
      <c r="N305" s="23"/>
      <c r="O305" s="23"/>
      <c r="P305" s="23"/>
    </row>
    <row r="306" spans="12:16" x14ac:dyDescent="0.45">
      <c r="L306" s="24"/>
      <c r="M306" s="23"/>
      <c r="N306" s="23"/>
      <c r="O306" s="23"/>
      <c r="P306" s="23"/>
    </row>
    <row r="307" spans="12:16" x14ac:dyDescent="0.45">
      <c r="L307" s="24"/>
      <c r="M307" s="23"/>
      <c r="N307" s="23"/>
      <c r="O307" s="23"/>
      <c r="P307" s="23"/>
    </row>
    <row r="308" spans="12:16" x14ac:dyDescent="0.45">
      <c r="L308" s="24"/>
      <c r="M308" s="23"/>
      <c r="N308" s="23"/>
      <c r="O308" s="23"/>
      <c r="P308" s="23"/>
    </row>
    <row r="309" spans="12:16" x14ac:dyDescent="0.45">
      <c r="L309" s="24"/>
      <c r="M309" s="23"/>
      <c r="N309" s="23"/>
      <c r="O309" s="23"/>
      <c r="P309" s="23"/>
    </row>
    <row r="310" spans="12:16" x14ac:dyDescent="0.45">
      <c r="L310" s="24"/>
      <c r="M310" s="23"/>
      <c r="N310" s="23"/>
      <c r="O310" s="23"/>
      <c r="P310" s="23"/>
    </row>
    <row r="311" spans="12:16" x14ac:dyDescent="0.45">
      <c r="L311" s="24"/>
      <c r="M311" s="23"/>
      <c r="N311" s="23"/>
      <c r="O311" s="23"/>
      <c r="P311" s="23"/>
    </row>
    <row r="312" spans="12:16" x14ac:dyDescent="0.45">
      <c r="L312" s="24"/>
      <c r="M312" s="23"/>
      <c r="N312" s="23"/>
      <c r="O312" s="23"/>
      <c r="P312" s="23"/>
    </row>
    <row r="313" spans="12:16" x14ac:dyDescent="0.45">
      <c r="L313" s="24"/>
      <c r="M313" s="23"/>
      <c r="N313" s="23"/>
      <c r="O313" s="23"/>
      <c r="P313" s="23"/>
    </row>
    <row r="314" spans="12:16" x14ac:dyDescent="0.45">
      <c r="L314" s="24"/>
      <c r="M314" s="23"/>
      <c r="N314" s="23"/>
      <c r="O314" s="23"/>
      <c r="P314" s="23"/>
    </row>
    <row r="315" spans="12:16" x14ac:dyDescent="0.45">
      <c r="L315" s="24"/>
      <c r="M315" s="23"/>
      <c r="N315" s="23"/>
      <c r="O315" s="23"/>
      <c r="P315" s="23"/>
    </row>
    <row r="316" spans="12:16" x14ac:dyDescent="0.45">
      <c r="L316" s="24"/>
      <c r="M316" s="23"/>
      <c r="N316" s="23"/>
      <c r="O316" s="23"/>
      <c r="P316" s="23"/>
    </row>
    <row r="317" spans="12:16" x14ac:dyDescent="0.45">
      <c r="L317" s="24"/>
      <c r="M317" s="23"/>
      <c r="N317" s="23"/>
      <c r="O317" s="23"/>
      <c r="P317" s="23"/>
    </row>
    <row r="318" spans="12:16" x14ac:dyDescent="0.45">
      <c r="L318" s="24"/>
      <c r="M318" s="23"/>
      <c r="N318" s="23"/>
      <c r="O318" s="23"/>
      <c r="P318" s="23"/>
    </row>
    <row r="319" spans="12:16" x14ac:dyDescent="0.45">
      <c r="L319" s="24"/>
      <c r="M319" s="23"/>
      <c r="N319" s="23"/>
      <c r="O319" s="23"/>
      <c r="P319" s="23"/>
    </row>
    <row r="320" spans="12:16" x14ac:dyDescent="0.45">
      <c r="L320" s="24"/>
      <c r="M320" s="23"/>
      <c r="N320" s="23"/>
      <c r="O320" s="23"/>
      <c r="P320" s="23"/>
    </row>
    <row r="321" spans="12:16" x14ac:dyDescent="0.45">
      <c r="L321" s="24"/>
      <c r="M321" s="23"/>
      <c r="N321" s="23"/>
      <c r="O321" s="23"/>
      <c r="P321" s="23"/>
    </row>
    <row r="322" spans="12:16" x14ac:dyDescent="0.45">
      <c r="L322" s="24"/>
      <c r="M322" s="23"/>
      <c r="N322" s="23"/>
      <c r="O322" s="23"/>
      <c r="P322" s="23"/>
    </row>
    <row r="323" spans="12:16" x14ac:dyDescent="0.45">
      <c r="L323" s="24"/>
      <c r="M323" s="23"/>
      <c r="N323" s="23"/>
      <c r="O323" s="23"/>
      <c r="P323" s="23"/>
    </row>
    <row r="324" spans="12:16" x14ac:dyDescent="0.45">
      <c r="L324" s="24"/>
      <c r="M324" s="23"/>
      <c r="N324" s="23"/>
      <c r="O324" s="23"/>
      <c r="P324" s="23"/>
    </row>
    <row r="325" spans="12:16" x14ac:dyDescent="0.45">
      <c r="L325" s="24"/>
      <c r="M325" s="23"/>
      <c r="N325" s="23"/>
      <c r="O325" s="23"/>
      <c r="P325" s="23"/>
    </row>
    <row r="326" spans="12:16" x14ac:dyDescent="0.45">
      <c r="L326" s="24"/>
      <c r="M326" s="23"/>
      <c r="N326" s="23"/>
      <c r="O326" s="23"/>
      <c r="P326" s="23"/>
    </row>
    <row r="327" spans="12:16" x14ac:dyDescent="0.45">
      <c r="L327" s="24"/>
      <c r="M327" s="23"/>
      <c r="N327" s="23"/>
      <c r="O327" s="23"/>
      <c r="P327" s="23"/>
    </row>
    <row r="328" spans="12:16" x14ac:dyDescent="0.45">
      <c r="L328" s="24"/>
      <c r="M328" s="23"/>
      <c r="N328" s="23"/>
      <c r="O328" s="23"/>
      <c r="P328" s="23"/>
    </row>
    <row r="329" spans="12:16" x14ac:dyDescent="0.45">
      <c r="L329" s="24"/>
      <c r="M329" s="23"/>
      <c r="N329" s="23"/>
      <c r="O329" s="23"/>
      <c r="P329" s="23"/>
    </row>
    <row r="330" spans="12:16" x14ac:dyDescent="0.45">
      <c r="L330" s="24"/>
      <c r="M330" s="23"/>
      <c r="N330" s="23"/>
      <c r="O330" s="23"/>
      <c r="P330" s="23"/>
    </row>
    <row r="331" spans="12:16" x14ac:dyDescent="0.45">
      <c r="L331" s="24"/>
      <c r="M331" s="23"/>
      <c r="N331" s="23"/>
      <c r="O331" s="23"/>
      <c r="P331" s="23"/>
    </row>
    <row r="332" spans="12:16" x14ac:dyDescent="0.45">
      <c r="L332" s="24"/>
      <c r="M332" s="23"/>
      <c r="N332" s="23"/>
      <c r="O332" s="23"/>
      <c r="P332" s="23"/>
    </row>
    <row r="333" spans="12:16" x14ac:dyDescent="0.45">
      <c r="L333" s="24"/>
      <c r="M333" s="23"/>
      <c r="N333" s="23"/>
      <c r="O333" s="23"/>
      <c r="P333" s="23"/>
    </row>
    <row r="334" spans="12:16" x14ac:dyDescent="0.45">
      <c r="L334" s="24"/>
      <c r="M334" s="23"/>
      <c r="N334" s="23"/>
      <c r="O334" s="23"/>
      <c r="P334" s="23"/>
    </row>
    <row r="335" spans="12:16" x14ac:dyDescent="0.45">
      <c r="L335" s="24"/>
      <c r="M335" s="23"/>
      <c r="N335" s="23"/>
      <c r="O335" s="23"/>
      <c r="P335" s="23"/>
    </row>
    <row r="336" spans="12:16" x14ac:dyDescent="0.45">
      <c r="L336" s="24"/>
      <c r="M336" s="23"/>
      <c r="N336" s="23"/>
      <c r="O336" s="23"/>
      <c r="P336" s="23"/>
    </row>
    <row r="337" spans="12:16" x14ac:dyDescent="0.45">
      <c r="L337" s="24"/>
      <c r="M337" s="23"/>
      <c r="N337" s="23"/>
      <c r="O337" s="23"/>
      <c r="P337" s="23"/>
    </row>
    <row r="338" spans="12:16" x14ac:dyDescent="0.45">
      <c r="L338" s="24"/>
      <c r="M338" s="23"/>
      <c r="N338" s="23"/>
      <c r="O338" s="23"/>
      <c r="P338" s="23"/>
    </row>
    <row r="339" spans="12:16" x14ac:dyDescent="0.45">
      <c r="L339" s="24"/>
      <c r="M339" s="23"/>
      <c r="N339" s="23"/>
      <c r="O339" s="23"/>
      <c r="P339" s="23"/>
    </row>
    <row r="340" spans="12:16" x14ac:dyDescent="0.45">
      <c r="L340" s="24"/>
      <c r="M340" s="23"/>
      <c r="N340" s="23"/>
      <c r="O340" s="23"/>
      <c r="P340" s="23"/>
    </row>
    <row r="341" spans="12:16" x14ac:dyDescent="0.45">
      <c r="L341" s="24"/>
      <c r="M341" s="23"/>
      <c r="N341" s="23"/>
      <c r="O341" s="23"/>
      <c r="P341" s="23"/>
    </row>
    <row r="342" spans="12:16" x14ac:dyDescent="0.45">
      <c r="L342" s="24"/>
      <c r="M342" s="23"/>
      <c r="N342" s="23"/>
      <c r="O342" s="23"/>
      <c r="P342" s="23"/>
    </row>
    <row r="343" spans="12:16" x14ac:dyDescent="0.45">
      <c r="L343" s="24"/>
      <c r="M343" s="23"/>
      <c r="N343" s="23"/>
      <c r="O343" s="23"/>
      <c r="P343" s="23"/>
    </row>
    <row r="344" spans="12:16" x14ac:dyDescent="0.45">
      <c r="L344" s="24"/>
      <c r="M344" s="23"/>
      <c r="N344" s="23"/>
      <c r="O344" s="23"/>
      <c r="P344" s="23"/>
    </row>
    <row r="345" spans="12:16" x14ac:dyDescent="0.45">
      <c r="L345" s="24"/>
      <c r="M345" s="23"/>
      <c r="N345" s="23"/>
      <c r="O345" s="23"/>
      <c r="P345" s="23"/>
    </row>
    <row r="346" spans="12:16" x14ac:dyDescent="0.45">
      <c r="L346" s="24"/>
      <c r="M346" s="23"/>
      <c r="N346" s="23"/>
      <c r="O346" s="23"/>
      <c r="P346" s="23"/>
    </row>
    <row r="347" spans="12:16" x14ac:dyDescent="0.45">
      <c r="L347" s="24"/>
      <c r="M347" s="23"/>
      <c r="N347" s="23"/>
      <c r="O347" s="23"/>
      <c r="P347" s="23"/>
    </row>
    <row r="348" spans="12:16" x14ac:dyDescent="0.45">
      <c r="L348" s="24"/>
      <c r="M348" s="23"/>
      <c r="N348" s="23"/>
      <c r="O348" s="23"/>
      <c r="P348" s="23"/>
    </row>
    <row r="349" spans="12:16" x14ac:dyDescent="0.45">
      <c r="L349" s="24"/>
      <c r="M349" s="23"/>
      <c r="N349" s="23"/>
      <c r="O349" s="23"/>
      <c r="P349" s="23"/>
    </row>
    <row r="350" spans="12:16" x14ac:dyDescent="0.45">
      <c r="L350" s="24"/>
      <c r="M350" s="23"/>
      <c r="N350" s="23"/>
      <c r="O350" s="23"/>
      <c r="P350" s="23"/>
    </row>
    <row r="351" spans="12:16" x14ac:dyDescent="0.45">
      <c r="L351" s="24"/>
      <c r="M351" s="23"/>
      <c r="N351" s="23"/>
      <c r="O351" s="23"/>
      <c r="P351" s="23"/>
    </row>
    <row r="352" spans="12:16" x14ac:dyDescent="0.45">
      <c r="L352" s="24"/>
      <c r="M352" s="23"/>
      <c r="N352" s="23"/>
      <c r="O352" s="23"/>
      <c r="P352" s="23"/>
    </row>
    <row r="353" spans="12:16" x14ac:dyDescent="0.45">
      <c r="L353" s="24"/>
      <c r="M353" s="23"/>
      <c r="N353" s="23"/>
      <c r="O353" s="23"/>
      <c r="P353" s="23"/>
    </row>
    <row r="354" spans="12:16" x14ac:dyDescent="0.45">
      <c r="L354" s="24"/>
      <c r="M354" s="23"/>
      <c r="N354" s="23"/>
      <c r="O354" s="23"/>
      <c r="P354" s="23"/>
    </row>
    <row r="355" spans="12:16" x14ac:dyDescent="0.45">
      <c r="L355" s="24"/>
      <c r="M355" s="23"/>
      <c r="N355" s="23"/>
      <c r="O355" s="23"/>
      <c r="P355" s="23"/>
    </row>
    <row r="356" spans="12:16" x14ac:dyDescent="0.45">
      <c r="L356" s="24"/>
      <c r="M356" s="23"/>
      <c r="N356" s="23"/>
      <c r="O356" s="23"/>
      <c r="P356" s="23"/>
    </row>
    <row r="357" spans="12:16" x14ac:dyDescent="0.45">
      <c r="L357" s="24"/>
      <c r="M357" s="23"/>
      <c r="N357" s="23"/>
      <c r="O357" s="23"/>
      <c r="P357" s="23"/>
    </row>
    <row r="358" spans="12:16" x14ac:dyDescent="0.45">
      <c r="L358" s="24"/>
      <c r="M358" s="23"/>
      <c r="N358" s="23"/>
      <c r="O358" s="23"/>
      <c r="P358" s="23"/>
    </row>
    <row r="359" spans="12:16" x14ac:dyDescent="0.45">
      <c r="L359" s="24"/>
      <c r="M359" s="23"/>
      <c r="N359" s="23"/>
      <c r="O359" s="23"/>
      <c r="P359" s="23"/>
    </row>
    <row r="360" spans="12:16" x14ac:dyDescent="0.45">
      <c r="L360" s="24"/>
      <c r="M360" s="23"/>
      <c r="N360" s="23"/>
      <c r="O360" s="23"/>
      <c r="P360" s="23"/>
    </row>
    <row r="361" spans="12:16" x14ac:dyDescent="0.45">
      <c r="L361" s="24"/>
      <c r="M361" s="23"/>
      <c r="N361" s="23"/>
      <c r="O361" s="23"/>
      <c r="P361" s="23"/>
    </row>
    <row r="362" spans="12:16" x14ac:dyDescent="0.45">
      <c r="L362" s="24"/>
      <c r="M362" s="23"/>
      <c r="N362" s="23"/>
      <c r="O362" s="23"/>
      <c r="P362" s="23"/>
    </row>
    <row r="363" spans="12:16" x14ac:dyDescent="0.45">
      <c r="L363" s="24"/>
      <c r="M363" s="23"/>
      <c r="N363" s="23"/>
      <c r="O363" s="23"/>
      <c r="P363" s="23"/>
    </row>
    <row r="364" spans="12:16" x14ac:dyDescent="0.45">
      <c r="L364" s="24"/>
      <c r="M364" s="23"/>
      <c r="N364" s="23"/>
      <c r="O364" s="23"/>
      <c r="P364" s="23"/>
    </row>
    <row r="365" spans="12:16" x14ac:dyDescent="0.45">
      <c r="L365" s="24"/>
      <c r="M365" s="23"/>
      <c r="N365" s="23"/>
      <c r="O365" s="23"/>
      <c r="P365" s="23"/>
    </row>
    <row r="366" spans="12:16" x14ac:dyDescent="0.45">
      <c r="L366" s="24"/>
      <c r="M366" s="23"/>
      <c r="N366" s="23"/>
      <c r="O366" s="23"/>
      <c r="P366" s="23"/>
    </row>
    <row r="367" spans="12:16" x14ac:dyDescent="0.45">
      <c r="L367" s="24"/>
      <c r="M367" s="23"/>
      <c r="N367" s="23"/>
      <c r="O367" s="23"/>
      <c r="P367" s="23"/>
    </row>
    <row r="368" spans="12:16" x14ac:dyDescent="0.45">
      <c r="L368" s="24"/>
      <c r="M368" s="23"/>
      <c r="N368" s="23"/>
      <c r="O368" s="23"/>
      <c r="P368" s="23"/>
    </row>
    <row r="369" spans="12:16" x14ac:dyDescent="0.45">
      <c r="L369" s="24"/>
      <c r="M369" s="23"/>
      <c r="N369" s="23"/>
      <c r="O369" s="23"/>
      <c r="P369" s="23"/>
    </row>
    <row r="370" spans="12:16" x14ac:dyDescent="0.45">
      <c r="L370" s="24"/>
      <c r="M370" s="23"/>
      <c r="N370" s="23"/>
      <c r="O370" s="23"/>
      <c r="P370" s="23"/>
    </row>
    <row r="371" spans="12:16" x14ac:dyDescent="0.45">
      <c r="L371" s="24"/>
      <c r="M371" s="23"/>
      <c r="N371" s="23"/>
      <c r="O371" s="23"/>
      <c r="P371" s="23"/>
    </row>
    <row r="372" spans="12:16" x14ac:dyDescent="0.45">
      <c r="L372" s="24"/>
      <c r="M372" s="23"/>
      <c r="N372" s="23"/>
      <c r="O372" s="23"/>
      <c r="P372" s="23"/>
    </row>
    <row r="373" spans="12:16" x14ac:dyDescent="0.45">
      <c r="L373" s="24"/>
      <c r="M373" s="23"/>
      <c r="N373" s="23"/>
      <c r="O373" s="23"/>
      <c r="P373" s="23"/>
    </row>
    <row r="374" spans="12:16" x14ac:dyDescent="0.45">
      <c r="L374" s="24"/>
      <c r="M374" s="23"/>
      <c r="N374" s="23"/>
      <c r="O374" s="23"/>
      <c r="P374" s="23"/>
    </row>
    <row r="375" spans="12:16" x14ac:dyDescent="0.45">
      <c r="L375" s="24"/>
      <c r="M375" s="23"/>
      <c r="N375" s="23"/>
      <c r="O375" s="23"/>
      <c r="P375" s="23"/>
    </row>
    <row r="376" spans="12:16" x14ac:dyDescent="0.45">
      <c r="L376" s="24"/>
      <c r="M376" s="23"/>
      <c r="N376" s="23"/>
      <c r="O376" s="23"/>
      <c r="P376" s="23"/>
    </row>
    <row r="377" spans="12:16" x14ac:dyDescent="0.45">
      <c r="L377" s="24"/>
      <c r="M377" s="23"/>
      <c r="N377" s="23"/>
      <c r="O377" s="23"/>
      <c r="P377" s="23"/>
    </row>
    <row r="378" spans="12:16" x14ac:dyDescent="0.45">
      <c r="L378" s="24"/>
      <c r="M378" s="23"/>
      <c r="N378" s="23"/>
      <c r="O378" s="23"/>
      <c r="P378" s="23"/>
    </row>
    <row r="379" spans="12:16" x14ac:dyDescent="0.45">
      <c r="L379" s="24"/>
      <c r="M379" s="23"/>
      <c r="N379" s="23"/>
      <c r="O379" s="23"/>
      <c r="P379" s="23"/>
    </row>
    <row r="380" spans="12:16" x14ac:dyDescent="0.45">
      <c r="L380" s="24"/>
      <c r="M380" s="23"/>
      <c r="N380" s="23"/>
      <c r="O380" s="23"/>
      <c r="P380" s="23"/>
    </row>
    <row r="381" spans="12:16" x14ac:dyDescent="0.45">
      <c r="L381" s="24"/>
      <c r="M381" s="23"/>
      <c r="N381" s="23"/>
      <c r="O381" s="23"/>
      <c r="P381" s="23"/>
    </row>
    <row r="382" spans="12:16" x14ac:dyDescent="0.45">
      <c r="L382" s="24"/>
      <c r="M382" s="23"/>
      <c r="N382" s="23"/>
      <c r="O382" s="23"/>
      <c r="P382" s="23"/>
    </row>
    <row r="383" spans="12:16" x14ac:dyDescent="0.45">
      <c r="L383" s="24"/>
      <c r="M383" s="23"/>
      <c r="N383" s="23"/>
      <c r="O383" s="23"/>
      <c r="P383" s="23"/>
    </row>
    <row r="384" spans="12:16" x14ac:dyDescent="0.45">
      <c r="L384" s="24"/>
      <c r="M384" s="23"/>
      <c r="N384" s="23"/>
      <c r="O384" s="23"/>
      <c r="P384" s="23"/>
    </row>
    <row r="385" spans="12:16" x14ac:dyDescent="0.45">
      <c r="L385" s="24"/>
      <c r="M385" s="23"/>
      <c r="N385" s="23"/>
      <c r="O385" s="23"/>
      <c r="P385" s="23"/>
    </row>
    <row r="386" spans="12:16" x14ac:dyDescent="0.45">
      <c r="L386" s="24"/>
      <c r="M386" s="23"/>
      <c r="N386" s="23"/>
      <c r="O386" s="23"/>
      <c r="P386" s="23"/>
    </row>
    <row r="387" spans="12:16" x14ac:dyDescent="0.45">
      <c r="L387" s="24"/>
      <c r="M387" s="23"/>
      <c r="N387" s="23"/>
      <c r="O387" s="23"/>
      <c r="P387" s="23"/>
    </row>
    <row r="388" spans="12:16" x14ac:dyDescent="0.45">
      <c r="L388" s="24"/>
      <c r="M388" s="23"/>
      <c r="N388" s="23"/>
      <c r="O388" s="23"/>
      <c r="P388" s="23"/>
    </row>
    <row r="389" spans="12:16" x14ac:dyDescent="0.45">
      <c r="L389" s="24"/>
      <c r="M389" s="23"/>
      <c r="N389" s="23"/>
      <c r="O389" s="23"/>
      <c r="P389" s="23"/>
    </row>
    <row r="390" spans="12:16" x14ac:dyDescent="0.45">
      <c r="L390" s="24"/>
      <c r="M390" s="23"/>
      <c r="N390" s="23"/>
      <c r="O390" s="23"/>
      <c r="P390" s="23"/>
    </row>
    <row r="391" spans="12:16" x14ac:dyDescent="0.45">
      <c r="L391" s="24"/>
      <c r="M391" s="23"/>
      <c r="N391" s="23"/>
      <c r="O391" s="23"/>
      <c r="P391" s="23"/>
    </row>
    <row r="392" spans="12:16" x14ac:dyDescent="0.45">
      <c r="L392" s="24"/>
      <c r="M392" s="23"/>
      <c r="N392" s="23"/>
      <c r="O392" s="23"/>
      <c r="P392" s="23"/>
    </row>
    <row r="393" spans="12:16" x14ac:dyDescent="0.45">
      <c r="L393" s="24"/>
      <c r="M393" s="23"/>
      <c r="N393" s="23"/>
      <c r="O393" s="23"/>
      <c r="P393" s="23"/>
    </row>
    <row r="394" spans="12:16" x14ac:dyDescent="0.45">
      <c r="L394" s="24"/>
      <c r="M394" s="23"/>
      <c r="N394" s="23"/>
      <c r="O394" s="23"/>
      <c r="P394" s="23"/>
    </row>
    <row r="395" spans="12:16" x14ac:dyDescent="0.45">
      <c r="L395" s="24"/>
      <c r="M395" s="23"/>
      <c r="N395" s="23"/>
      <c r="O395" s="23"/>
      <c r="P395" s="23"/>
    </row>
    <row r="396" spans="12:16" x14ac:dyDescent="0.45">
      <c r="L396" s="24"/>
      <c r="M396" s="23"/>
      <c r="N396" s="23"/>
      <c r="O396" s="23"/>
      <c r="P396" s="23"/>
    </row>
    <row r="397" spans="12:16" x14ac:dyDescent="0.45">
      <c r="L397" s="24"/>
      <c r="M397" s="23"/>
      <c r="N397" s="23"/>
      <c r="O397" s="23"/>
      <c r="P397" s="23"/>
    </row>
    <row r="398" spans="12:16" x14ac:dyDescent="0.45">
      <c r="L398" s="24"/>
      <c r="M398" s="23"/>
      <c r="N398" s="23"/>
      <c r="O398" s="23"/>
      <c r="P398" s="23"/>
    </row>
    <row r="399" spans="12:16" x14ac:dyDescent="0.45">
      <c r="L399" s="24"/>
      <c r="M399" s="23"/>
      <c r="N399" s="23"/>
      <c r="O399" s="23"/>
      <c r="P399" s="23"/>
    </row>
    <row r="400" spans="12:16" x14ac:dyDescent="0.45">
      <c r="L400" s="24"/>
      <c r="M400" s="23"/>
      <c r="N400" s="23"/>
      <c r="O400" s="23"/>
      <c r="P400" s="23"/>
    </row>
    <row r="401" spans="12:16" x14ac:dyDescent="0.45">
      <c r="L401" s="24"/>
      <c r="M401" s="23"/>
      <c r="N401" s="23"/>
      <c r="O401" s="23"/>
      <c r="P401" s="23"/>
    </row>
    <row r="402" spans="12:16" x14ac:dyDescent="0.45">
      <c r="L402" s="24"/>
      <c r="M402" s="23"/>
      <c r="N402" s="23"/>
      <c r="O402" s="23"/>
      <c r="P402" s="23"/>
    </row>
    <row r="403" spans="12:16" x14ac:dyDescent="0.45">
      <c r="L403" s="24"/>
      <c r="M403" s="23"/>
      <c r="N403" s="23"/>
      <c r="O403" s="23"/>
      <c r="P403" s="23"/>
    </row>
    <row r="404" spans="12:16" x14ac:dyDescent="0.45">
      <c r="L404" s="24"/>
      <c r="M404" s="23"/>
      <c r="N404" s="23"/>
      <c r="O404" s="23"/>
      <c r="P404" s="23"/>
    </row>
    <row r="405" spans="12:16" x14ac:dyDescent="0.45">
      <c r="L405" s="24"/>
      <c r="M405" s="23"/>
      <c r="N405" s="23"/>
      <c r="O405" s="23"/>
      <c r="P405" s="23"/>
    </row>
    <row r="406" spans="12:16" x14ac:dyDescent="0.45">
      <c r="L406" s="24"/>
      <c r="M406" s="23"/>
      <c r="N406" s="23"/>
      <c r="O406" s="23"/>
      <c r="P406" s="23"/>
    </row>
    <row r="407" spans="12:16" x14ac:dyDescent="0.45">
      <c r="L407" s="24"/>
      <c r="M407" s="23"/>
      <c r="N407" s="23"/>
      <c r="O407" s="23"/>
      <c r="P407" s="23"/>
    </row>
    <row r="408" spans="12:16" x14ac:dyDescent="0.45">
      <c r="L408" s="24"/>
      <c r="M408" s="23"/>
      <c r="N408" s="23"/>
      <c r="O408" s="23"/>
      <c r="P408" s="23"/>
    </row>
    <row r="409" spans="12:16" x14ac:dyDescent="0.45">
      <c r="L409" s="24"/>
      <c r="M409" s="23"/>
      <c r="N409" s="23"/>
      <c r="O409" s="23"/>
      <c r="P409" s="23"/>
    </row>
    <row r="410" spans="12:16" x14ac:dyDescent="0.45">
      <c r="L410" s="24"/>
      <c r="M410" s="23"/>
      <c r="N410" s="23"/>
      <c r="O410" s="23"/>
      <c r="P410" s="23"/>
    </row>
    <row r="411" spans="12:16" x14ac:dyDescent="0.45">
      <c r="L411" s="24"/>
      <c r="M411" s="23"/>
      <c r="N411" s="23"/>
      <c r="O411" s="23"/>
      <c r="P411" s="23"/>
    </row>
    <row r="412" spans="12:16" x14ac:dyDescent="0.45">
      <c r="L412" s="24"/>
      <c r="M412" s="23"/>
      <c r="N412" s="23"/>
      <c r="O412" s="23"/>
      <c r="P412" s="23"/>
    </row>
    <row r="413" spans="12:16" x14ac:dyDescent="0.45">
      <c r="L413" s="24"/>
      <c r="M413" s="23"/>
      <c r="N413" s="23"/>
      <c r="O413" s="23"/>
      <c r="P413" s="23"/>
    </row>
    <row r="414" spans="12:16" x14ac:dyDescent="0.45">
      <c r="L414" s="24"/>
      <c r="M414" s="23"/>
      <c r="N414" s="23"/>
      <c r="O414" s="23"/>
      <c r="P414" s="23"/>
    </row>
    <row r="415" spans="12:16" x14ac:dyDescent="0.45">
      <c r="L415" s="24"/>
      <c r="M415" s="23"/>
      <c r="N415" s="23"/>
      <c r="O415" s="23"/>
      <c r="P415" s="23"/>
    </row>
    <row r="416" spans="12:16" x14ac:dyDescent="0.45">
      <c r="L416" s="24"/>
      <c r="M416" s="23"/>
      <c r="N416" s="23"/>
      <c r="O416" s="23"/>
      <c r="P416" s="23"/>
    </row>
    <row r="417" spans="12:16" x14ac:dyDescent="0.45">
      <c r="L417" s="24"/>
      <c r="M417" s="23"/>
      <c r="N417" s="23"/>
      <c r="O417" s="23"/>
      <c r="P417" s="23"/>
    </row>
    <row r="418" spans="12:16" x14ac:dyDescent="0.45">
      <c r="L418" s="24"/>
      <c r="M418" s="23"/>
      <c r="N418" s="23"/>
      <c r="O418" s="23"/>
      <c r="P418" s="23"/>
    </row>
    <row r="419" spans="12:16" x14ac:dyDescent="0.45">
      <c r="L419" s="24"/>
      <c r="M419" s="23"/>
      <c r="N419" s="23"/>
      <c r="O419" s="23"/>
      <c r="P419" s="23"/>
    </row>
    <row r="420" spans="12:16" x14ac:dyDescent="0.45">
      <c r="L420" s="24"/>
      <c r="M420" s="23"/>
      <c r="N420" s="23"/>
      <c r="O420" s="23"/>
      <c r="P420" s="23"/>
    </row>
    <row r="421" spans="12:16" x14ac:dyDescent="0.45">
      <c r="L421" s="24"/>
      <c r="M421" s="23"/>
      <c r="N421" s="23"/>
      <c r="O421" s="23"/>
      <c r="P421" s="23"/>
    </row>
    <row r="422" spans="12:16" x14ac:dyDescent="0.45">
      <c r="L422" s="24"/>
      <c r="M422" s="23"/>
      <c r="N422" s="23"/>
      <c r="O422" s="23"/>
      <c r="P422" s="23"/>
    </row>
    <row r="423" spans="12:16" x14ac:dyDescent="0.45">
      <c r="L423" s="21"/>
      <c r="M423" s="13"/>
      <c r="N423" s="13"/>
      <c r="O423" s="13"/>
    </row>
  </sheetData>
  <mergeCells count="17">
    <mergeCell ref="C16:E16"/>
    <mergeCell ref="B18:E18"/>
    <mergeCell ref="B15:E15"/>
    <mergeCell ref="B17:E17"/>
    <mergeCell ref="B3:E3"/>
    <mergeCell ref="B4:B14"/>
    <mergeCell ref="C4:C5"/>
    <mergeCell ref="D4:E4"/>
    <mergeCell ref="C6:E6"/>
    <mergeCell ref="D9:E9"/>
    <mergeCell ref="D10:E10"/>
    <mergeCell ref="C11:E11"/>
    <mergeCell ref="C14:E14"/>
    <mergeCell ref="D5:E5"/>
    <mergeCell ref="D8:E8"/>
    <mergeCell ref="D12:E12"/>
    <mergeCell ref="D13:E13"/>
  </mergeCells>
  <phoneticPr fontId="1"/>
  <hyperlinks>
    <hyperlink ref="H17" r:id="rId1" xr:uid="{BF0FAC0C-A842-45F2-AB8A-9C887D09DDE4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0</xdr:row>
                    <xdr:rowOff>7620</xdr:rowOff>
                  </from>
                  <to>
                    <xdr:col>9</xdr:col>
                    <xdr:colOff>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</xdr:row>
                    <xdr:rowOff>0</xdr:rowOff>
                  </from>
                  <to>
                    <xdr:col>9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539CD-733D-45F0-886B-EDC81A085F75}">
  <dimension ref="A1:N19"/>
  <sheetViews>
    <sheetView topLeftCell="B1" zoomScale="85" zoomScaleNormal="85" workbookViewId="0">
      <selection activeCell="B1" sqref="B1"/>
    </sheetView>
  </sheetViews>
  <sheetFormatPr defaultRowHeight="18" x14ac:dyDescent="0.45"/>
  <cols>
    <col min="1" max="1" width="1" customWidth="1"/>
    <col min="2" max="2" width="7.19921875" customWidth="1"/>
    <col min="3" max="3" width="5.19921875" customWidth="1"/>
    <col min="4" max="4" width="4.69921875" customWidth="1"/>
    <col min="5" max="5" width="3.3984375" customWidth="1"/>
    <col min="6" max="6" width="9" customWidth="1"/>
    <col min="7" max="7" width="7.19921875" customWidth="1"/>
    <col min="8" max="8" width="7.3984375" customWidth="1"/>
    <col min="9" max="9" width="5.5" customWidth="1"/>
    <col min="11" max="11" width="4.69921875" customWidth="1"/>
    <col min="12" max="12" width="18.3984375" customWidth="1"/>
    <col min="13" max="13" width="13.3984375" customWidth="1"/>
  </cols>
  <sheetData>
    <row r="1" spans="1:14" s="60" customFormat="1" ht="18.600000000000001" thickBot="1" x14ac:dyDescent="0.5">
      <c r="A1" s="61"/>
      <c r="B1" s="10" t="s">
        <v>588</v>
      </c>
      <c r="C1" s="61"/>
      <c r="D1" s="61"/>
      <c r="E1" s="61"/>
      <c r="F1" s="61"/>
      <c r="G1" s="61"/>
      <c r="H1" s="61"/>
      <c r="I1" s="100" t="s">
        <v>1</v>
      </c>
      <c r="J1" s="100"/>
      <c r="K1" s="61"/>
      <c r="L1" s="10"/>
      <c r="M1" s="61"/>
      <c r="N1" s="61"/>
    </row>
    <row r="2" spans="1:14" x14ac:dyDescent="0.45">
      <c r="A2" s="3"/>
      <c r="B2" s="117" t="s">
        <v>576</v>
      </c>
      <c r="C2" s="118"/>
      <c r="D2" s="118"/>
      <c r="E2" s="118"/>
      <c r="F2" s="119"/>
      <c r="G2" s="120" t="s">
        <v>577</v>
      </c>
      <c r="H2" s="121"/>
      <c r="I2" s="121"/>
      <c r="J2" s="122"/>
      <c r="K2" s="3"/>
      <c r="L2" s="44" t="s">
        <v>590</v>
      </c>
      <c r="M2" s="39">
        <v>10</v>
      </c>
      <c r="N2" s="3" t="s">
        <v>465</v>
      </c>
    </row>
    <row r="3" spans="1:14" x14ac:dyDescent="0.45">
      <c r="A3" s="3"/>
      <c r="B3" s="123" t="s">
        <v>578</v>
      </c>
      <c r="C3" s="124"/>
      <c r="D3" s="124"/>
      <c r="E3" s="124"/>
      <c r="F3" s="65" t="s">
        <v>0</v>
      </c>
      <c r="G3" s="125" t="s">
        <v>578</v>
      </c>
      <c r="H3" s="124"/>
      <c r="I3" s="124"/>
      <c r="J3" s="65" t="s">
        <v>0</v>
      </c>
      <c r="K3" s="3"/>
      <c r="L3" s="58" t="s">
        <v>624</v>
      </c>
      <c r="M3" s="59">
        <f>計算用3!T7</f>
        <v>1</v>
      </c>
      <c r="N3" s="3" t="s">
        <v>594</v>
      </c>
    </row>
    <row r="4" spans="1:14" ht="18.600000000000001" thickBot="1" x14ac:dyDescent="0.5">
      <c r="A4" s="3"/>
      <c r="B4" s="116" t="s">
        <v>3</v>
      </c>
      <c r="C4" s="115"/>
      <c r="D4" s="115"/>
      <c r="E4" s="115"/>
      <c r="F4" s="67">
        <f>真実の家賃!F4</f>
        <v>0</v>
      </c>
      <c r="G4" s="114" t="s">
        <v>591</v>
      </c>
      <c r="H4" s="115"/>
      <c r="I4" s="115"/>
      <c r="J4" s="70">
        <f>M2*5*M3</f>
        <v>50</v>
      </c>
      <c r="K4" s="3"/>
      <c r="L4" s="73" t="s">
        <v>628</v>
      </c>
      <c r="M4" s="72">
        <f>真実の家賃!I3</f>
        <v>10</v>
      </c>
      <c r="N4" s="3" t="s">
        <v>468</v>
      </c>
    </row>
    <row r="5" spans="1:14" x14ac:dyDescent="0.45">
      <c r="A5" s="3"/>
      <c r="B5" s="116" t="s">
        <v>6</v>
      </c>
      <c r="C5" s="115"/>
      <c r="D5" s="115"/>
      <c r="E5" s="115"/>
      <c r="F5" s="67">
        <f>真実の家賃!F5</f>
        <v>238.79999999999998</v>
      </c>
      <c r="G5" s="111" t="s">
        <v>579</v>
      </c>
      <c r="H5" s="112"/>
      <c r="I5" s="112"/>
      <c r="J5" s="71">
        <f>J4</f>
        <v>50</v>
      </c>
      <c r="K5" s="3"/>
      <c r="L5" s="18" t="s">
        <v>592</v>
      </c>
      <c r="M5" s="3"/>
      <c r="N5" s="3"/>
    </row>
    <row r="6" spans="1:14" x14ac:dyDescent="0.45">
      <c r="A6" s="3"/>
      <c r="B6" s="113" t="s">
        <v>579</v>
      </c>
      <c r="C6" s="112"/>
      <c r="D6" s="112"/>
      <c r="E6" s="112"/>
      <c r="F6" s="68">
        <f>SUM(F4:F5)</f>
        <v>238.79999999999998</v>
      </c>
      <c r="G6" s="114" t="s">
        <v>583</v>
      </c>
      <c r="H6" s="115"/>
      <c r="I6" s="115"/>
      <c r="J6" s="70">
        <f>真実の家賃!F18*M2</f>
        <v>1200</v>
      </c>
      <c r="K6" s="3"/>
      <c r="L6" s="18" t="s">
        <v>627</v>
      </c>
      <c r="M6" s="3"/>
      <c r="N6" s="3"/>
    </row>
    <row r="7" spans="1:14" x14ac:dyDescent="0.45">
      <c r="A7" s="3"/>
      <c r="B7" s="116" t="s">
        <v>580</v>
      </c>
      <c r="C7" s="115"/>
      <c r="D7" s="115"/>
      <c r="E7" s="115"/>
      <c r="F7" s="67">
        <f>真実の家賃!F7</f>
        <v>1271.6880000000001</v>
      </c>
      <c r="G7" s="114" t="s">
        <v>595</v>
      </c>
      <c r="H7" s="115"/>
      <c r="I7" s="115"/>
      <c r="J7" s="70">
        <f>_xlfn.SWITCH(M4,1,計算用3!W3,2,計算用3!W4,3,計算用3!W4,4,計算用3!W5,5,計算用3!W5,6,計算用3!W6,7,計算用3!W6,8,計算用3!W7,9,計算用3!W7,10,計算用3!W8,11,計算用3!W8,12,計算用3!W9,13,計算用3!W9,14,計算用3!W10,15,計算用3!W10,16,計算用3!W11,17,計算用3!W11,18,計算用3!W12,19,計算用3!W12,20,計算用3!W13,21,計算用3!W13,22,計算用3!W14,23,計算用3!W14,24,計算用3!W15,25,計算用3!W15,26,計算用3!W16,27,計算用3!W16,28,計算用3!W17,29,計算用3!W17,30,計算用3!W18,31,計算用3!W18,32,計算用3!W19,33,計算用3!W19,34,計算用3!W20,35,計算用3!W20,36,計算用3!W21,37,計算用3!W21,38,計算用3!W22,39,計算用3!W22,40,計算用3!W23,41,計算用3!W23,42,計算用3!W24,43,計算用3!W24,44,計算用3!W25,45,計算用3!W25,46,計算用3!W26,47,計算用3!W26,48,計算用3!W27,49,計算用3!W27,50,計算用3!W28,"該当なし")</f>
        <v>50</v>
      </c>
      <c r="K7" s="3"/>
      <c r="L7" s="18" t="s">
        <v>625</v>
      </c>
      <c r="M7" s="3"/>
      <c r="N7" s="3"/>
    </row>
    <row r="8" spans="1:14" x14ac:dyDescent="0.45">
      <c r="A8" s="3"/>
      <c r="B8" s="105" t="s">
        <v>581</v>
      </c>
      <c r="C8" s="106"/>
      <c r="D8" s="106"/>
      <c r="E8" s="106"/>
      <c r="F8" s="67">
        <f>真実の家賃!F8</f>
        <v>150</v>
      </c>
      <c r="G8" s="111" t="s">
        <v>582</v>
      </c>
      <c r="H8" s="112"/>
      <c r="I8" s="112"/>
      <c r="J8" s="71">
        <f>SUM(J6:J7)</f>
        <v>1250</v>
      </c>
      <c r="K8" s="3"/>
      <c r="L8" s="18" t="s">
        <v>626</v>
      </c>
      <c r="M8" s="3"/>
      <c r="N8" s="3"/>
    </row>
    <row r="9" spans="1:14" x14ac:dyDescent="0.45">
      <c r="A9" s="3"/>
      <c r="B9" s="116" t="s">
        <v>9</v>
      </c>
      <c r="C9" s="115"/>
      <c r="D9" s="115"/>
      <c r="E9" s="115"/>
      <c r="F9" s="67">
        <f>真実の家賃!F9</f>
        <v>-238.70820189999998</v>
      </c>
      <c r="G9" s="110" t="s">
        <v>623</v>
      </c>
      <c r="H9" s="106"/>
      <c r="I9" s="106"/>
      <c r="J9" s="70">
        <f>15*M3</f>
        <v>15</v>
      </c>
      <c r="K9" s="3"/>
      <c r="L9" s="3"/>
      <c r="M9" s="3"/>
      <c r="N9" s="3"/>
    </row>
    <row r="10" spans="1:14" x14ac:dyDescent="0.45">
      <c r="A10" s="3"/>
      <c r="B10" s="105" t="s">
        <v>10</v>
      </c>
      <c r="C10" s="106"/>
      <c r="D10" s="106"/>
      <c r="E10" s="106"/>
      <c r="F10" s="67">
        <f>真実の家賃!F10</f>
        <v>0</v>
      </c>
      <c r="G10" s="109" t="s">
        <v>586</v>
      </c>
      <c r="H10" s="108"/>
      <c r="I10" s="108"/>
      <c r="J10" s="71">
        <f>J9</f>
        <v>15</v>
      </c>
      <c r="K10" s="3"/>
      <c r="L10" s="3"/>
      <c r="M10" s="3"/>
      <c r="N10" s="3"/>
    </row>
    <row r="11" spans="1:14" ht="18.600000000000001" thickBot="1" x14ac:dyDescent="0.5">
      <c r="A11" s="3"/>
      <c r="B11" s="113" t="s">
        <v>582</v>
      </c>
      <c r="C11" s="112"/>
      <c r="D11" s="112"/>
      <c r="E11" s="112"/>
      <c r="F11" s="68">
        <f>F7+F8+F9+F10</f>
        <v>1182.9797981000002</v>
      </c>
      <c r="G11" s="103" t="s">
        <v>587</v>
      </c>
      <c r="H11" s="104"/>
      <c r="I11" s="104"/>
      <c r="J11" s="66">
        <f>J5+J8+J10</f>
        <v>1315</v>
      </c>
      <c r="K11" s="3"/>
      <c r="L11" s="3"/>
      <c r="M11" s="3"/>
      <c r="N11" s="3"/>
    </row>
    <row r="12" spans="1:14" x14ac:dyDescent="0.45">
      <c r="A12" s="3"/>
      <c r="B12" s="105" t="s">
        <v>12</v>
      </c>
      <c r="C12" s="106"/>
      <c r="D12" s="106"/>
      <c r="E12" s="106"/>
      <c r="F12" s="67">
        <f>真実の家賃!F12</f>
        <v>2933.6513</v>
      </c>
      <c r="G12" s="3"/>
      <c r="H12" s="3"/>
      <c r="I12" s="3"/>
      <c r="J12" s="3"/>
      <c r="K12" s="3"/>
      <c r="L12" s="3"/>
      <c r="M12" s="3"/>
      <c r="N12" s="3"/>
    </row>
    <row r="13" spans="1:14" x14ac:dyDescent="0.45">
      <c r="A13" s="3"/>
      <c r="B13" s="105" t="s">
        <v>584</v>
      </c>
      <c r="C13" s="106"/>
      <c r="D13" s="106"/>
      <c r="E13" s="106"/>
      <c r="F13" s="67">
        <f>真実の家賃!F13</f>
        <v>151.24</v>
      </c>
      <c r="G13" s="3"/>
      <c r="H13" s="3"/>
      <c r="I13" s="3"/>
      <c r="J13" s="3"/>
      <c r="K13" s="3"/>
      <c r="L13" s="3"/>
      <c r="M13" s="3"/>
      <c r="N13" s="3"/>
    </row>
    <row r="14" spans="1:14" x14ac:dyDescent="0.45">
      <c r="A14" s="3"/>
      <c r="B14" s="105" t="s">
        <v>585</v>
      </c>
      <c r="C14" s="106"/>
      <c r="D14" s="106"/>
      <c r="E14" s="106"/>
      <c r="F14" s="67">
        <f>計算用3!T8</f>
        <v>15</v>
      </c>
      <c r="G14" s="3"/>
      <c r="H14" s="3"/>
      <c r="I14" s="3"/>
      <c r="J14" s="3"/>
      <c r="K14" s="3"/>
      <c r="L14" s="3"/>
      <c r="M14" s="3"/>
      <c r="N14" s="3"/>
    </row>
    <row r="15" spans="1:14" x14ac:dyDescent="0.45">
      <c r="A15" s="3"/>
      <c r="B15" s="107" t="s">
        <v>586</v>
      </c>
      <c r="C15" s="108"/>
      <c r="D15" s="108"/>
      <c r="E15" s="108"/>
      <c r="F15" s="68">
        <f>SUM(F12:F14)</f>
        <v>3099.8913000000002</v>
      </c>
      <c r="G15" s="3"/>
      <c r="H15" s="3"/>
      <c r="I15" s="3"/>
      <c r="J15" s="3"/>
      <c r="K15" s="3"/>
      <c r="L15" s="3"/>
      <c r="M15" s="3"/>
      <c r="N15" s="3"/>
    </row>
    <row r="16" spans="1:14" ht="18.600000000000001" thickBot="1" x14ac:dyDescent="0.5">
      <c r="A16" s="3"/>
      <c r="B16" s="101" t="s">
        <v>587</v>
      </c>
      <c r="C16" s="102"/>
      <c r="D16" s="102"/>
      <c r="E16" s="102"/>
      <c r="F16" s="69">
        <f>F6+F11+F15</f>
        <v>4521.6710981000006</v>
      </c>
      <c r="G16" s="3"/>
      <c r="H16" s="3"/>
      <c r="I16" s="3"/>
      <c r="J16" s="3"/>
      <c r="K16" s="3"/>
      <c r="L16" s="3"/>
      <c r="M16" s="3"/>
      <c r="N16" s="3"/>
    </row>
    <row r="17" spans="1:14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4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4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mergeCells count="26">
    <mergeCell ref="B2:F2"/>
    <mergeCell ref="G2:J2"/>
    <mergeCell ref="B3:E3"/>
    <mergeCell ref="G3:I3"/>
    <mergeCell ref="B6:E6"/>
    <mergeCell ref="B7:E7"/>
    <mergeCell ref="G6:I6"/>
    <mergeCell ref="B4:E4"/>
    <mergeCell ref="G4:I4"/>
    <mergeCell ref="B5:E5"/>
    <mergeCell ref="I1:J1"/>
    <mergeCell ref="B16:E16"/>
    <mergeCell ref="G11:I11"/>
    <mergeCell ref="B14:E14"/>
    <mergeCell ref="B15:E15"/>
    <mergeCell ref="G10:I10"/>
    <mergeCell ref="B12:E12"/>
    <mergeCell ref="G9:I9"/>
    <mergeCell ref="B13:E13"/>
    <mergeCell ref="B10:E10"/>
    <mergeCell ref="G5:I5"/>
    <mergeCell ref="B11:E11"/>
    <mergeCell ref="G8:I8"/>
    <mergeCell ref="B8:E8"/>
    <mergeCell ref="G7:I7"/>
    <mergeCell ref="B9:E9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22D06-3BA0-474D-82A6-8B4F70C5D6D3}">
  <dimension ref="A1:AI1051"/>
  <sheetViews>
    <sheetView zoomScaleNormal="100" workbookViewId="0"/>
  </sheetViews>
  <sheetFormatPr defaultRowHeight="18" x14ac:dyDescent="0.45"/>
  <cols>
    <col min="1" max="2" width="1.59765625" customWidth="1"/>
    <col min="3" max="5" width="10.59765625" customWidth="1"/>
    <col min="7" max="7" width="22" customWidth="1"/>
    <col min="8" max="8" width="13.3984375" customWidth="1"/>
    <col min="10" max="10" width="10.5" bestFit="1" customWidth="1"/>
    <col min="11" max="11" width="13.09765625" customWidth="1"/>
    <col min="12" max="12" width="11.3984375" customWidth="1"/>
    <col min="13" max="13" width="12.09765625" customWidth="1"/>
    <col min="15" max="15" width="12.69921875" customWidth="1"/>
    <col min="16" max="16" width="5.69921875" customWidth="1"/>
    <col min="17" max="18" width="12.3984375" customWidth="1"/>
    <col min="19" max="19" width="11.19921875" customWidth="1"/>
    <col min="20" max="20" width="11.8984375" customWidth="1"/>
    <col min="21" max="21" width="16.69921875" customWidth="1"/>
    <col min="22" max="22" width="4.59765625" customWidth="1"/>
    <col min="24" max="24" width="10.69921875" customWidth="1"/>
    <col min="25" max="25" width="3" customWidth="1"/>
    <col min="26" max="26" width="2.8984375" customWidth="1"/>
    <col min="27" max="27" width="10.3984375" bestFit="1" customWidth="1"/>
    <col min="33" max="33" width="9.3984375" bestFit="1" customWidth="1"/>
  </cols>
  <sheetData>
    <row r="1" spans="1:35" ht="18.600000000000001" thickBot="1" x14ac:dyDescent="0.5">
      <c r="A1" s="3"/>
      <c r="B1" s="3"/>
      <c r="D1" s="3"/>
      <c r="E1" s="3"/>
      <c r="F1" s="3"/>
      <c r="Q1" s="21" t="s">
        <v>492</v>
      </c>
      <c r="AC1" t="s">
        <v>686</v>
      </c>
      <c r="AF1" s="134" t="s">
        <v>689</v>
      </c>
      <c r="AG1" s="134"/>
      <c r="AH1" s="134"/>
    </row>
    <row r="2" spans="1:35" ht="18.600000000000001" thickBot="1" x14ac:dyDescent="0.5">
      <c r="A2" s="10" t="s">
        <v>4</v>
      </c>
      <c r="B2" s="3"/>
      <c r="C2" s="3"/>
      <c r="D2" s="3"/>
      <c r="E2" s="4" t="s">
        <v>1</v>
      </c>
      <c r="F2" s="4"/>
      <c r="G2" s="38" t="s">
        <v>508</v>
      </c>
      <c r="H2" s="42">
        <v>1</v>
      </c>
      <c r="I2" t="s">
        <v>509</v>
      </c>
      <c r="J2" s="1" t="s">
        <v>22</v>
      </c>
      <c r="K2" s="22" t="s">
        <v>43</v>
      </c>
      <c r="L2" s="1" t="s">
        <v>23</v>
      </c>
      <c r="M2" s="1" t="s">
        <v>24</v>
      </c>
      <c r="N2" s="1" t="s">
        <v>25</v>
      </c>
      <c r="O2" s="1" t="s">
        <v>26</v>
      </c>
      <c r="Q2" s="1" t="s">
        <v>40</v>
      </c>
      <c r="R2" s="1" t="s">
        <v>41</v>
      </c>
      <c r="S2" s="1" t="s">
        <v>9</v>
      </c>
      <c r="T2" s="1" t="s">
        <v>42</v>
      </c>
      <c r="U2" s="1" t="s">
        <v>562</v>
      </c>
      <c r="W2" s="1" t="s">
        <v>40</v>
      </c>
      <c r="X2" s="1" t="s">
        <v>4</v>
      </c>
      <c r="AA2" s="1" t="s">
        <v>572</v>
      </c>
      <c r="AC2" s="1" t="s">
        <v>40</v>
      </c>
      <c r="AD2" s="1" t="s">
        <v>687</v>
      </c>
      <c r="AF2" s="1" t="s">
        <v>40</v>
      </c>
      <c r="AG2" s="1" t="s">
        <v>16</v>
      </c>
      <c r="AH2" s="1" t="s">
        <v>688</v>
      </c>
    </row>
    <row r="3" spans="1:35" ht="18.600000000000001" thickBot="1" x14ac:dyDescent="0.5">
      <c r="A3" s="133" t="s">
        <v>5</v>
      </c>
      <c r="B3" s="133"/>
      <c r="C3" s="133"/>
      <c r="D3" s="133"/>
      <c r="E3" s="11" t="s">
        <v>0</v>
      </c>
      <c r="F3" s="3"/>
      <c r="G3" s="36" t="s">
        <v>464</v>
      </c>
      <c r="H3" s="37">
        <f>真実の家賃!I4</f>
        <v>3980</v>
      </c>
      <c r="I3" t="s">
        <v>465</v>
      </c>
      <c r="J3">
        <v>1</v>
      </c>
      <c r="K3" s="24" t="s">
        <v>44</v>
      </c>
      <c r="L3" s="23">
        <f>INT(PMT((H4/100)/12,H5*12,-H3*10000))</f>
        <v>105974</v>
      </c>
      <c r="M3" s="23">
        <f>IF(L3&lt;=0,0,L3-N3)</f>
        <v>84416</v>
      </c>
      <c r="N3" s="23">
        <f>INT(H3*10000*(H4/100)/12)</f>
        <v>21558</v>
      </c>
      <c r="O3" s="23">
        <f>H3*10000-M3</f>
        <v>39715584</v>
      </c>
      <c r="Q3" s="2" t="s">
        <v>27</v>
      </c>
      <c r="R3" s="13">
        <f>IF(O14&lt;=0,0,O14)</f>
        <v>38783981</v>
      </c>
      <c r="S3" s="16">
        <f>R3*0.007</f>
        <v>271487.86700000003</v>
      </c>
      <c r="T3" s="16">
        <f>S3</f>
        <v>271487.86700000003</v>
      </c>
      <c r="U3" s="16">
        <f>IF(O3&lt;=0,0,(SUM(L3:L14)))</f>
        <v>1271688</v>
      </c>
      <c r="W3" s="2" t="s">
        <v>510</v>
      </c>
      <c r="X3" s="17">
        <f>計算用1!E20</f>
        <v>37.601509441666622</v>
      </c>
      <c r="AA3">
        <f>_xlfn.IFS(真実の家賃!I3&lt;=10,0,真実の家賃!I3&gt;=10,(真実の家賃!I3-10)*12)</f>
        <v>0</v>
      </c>
      <c r="AC3" s="2" t="s">
        <v>27</v>
      </c>
      <c r="AD3" s="77">
        <v>1</v>
      </c>
      <c r="AE3" s="76"/>
      <c r="AF3" s="2" t="s">
        <v>27</v>
      </c>
      <c r="AG3" s="23">
        <f>H7</f>
        <v>3980</v>
      </c>
      <c r="AH3" s="23">
        <f>IF(真実の家賃!$I$16="",AG3*0.05,真実の家賃!$I$16*0.05)</f>
        <v>199</v>
      </c>
      <c r="AI3" s="23"/>
    </row>
    <row r="4" spans="1:35" ht="18.600000000000001" thickBot="1" x14ac:dyDescent="0.5">
      <c r="A4" s="85"/>
      <c r="B4" s="87"/>
      <c r="C4" s="127" t="s">
        <v>3</v>
      </c>
      <c r="D4" s="128"/>
      <c r="E4" s="29">
        <f>IF(H6="",0,H6)</f>
        <v>0</v>
      </c>
      <c r="F4" s="3"/>
      <c r="G4" s="25" t="s">
        <v>466</v>
      </c>
      <c r="H4" s="43">
        <f>真実の家賃!I5</f>
        <v>0.65</v>
      </c>
      <c r="I4" t="s">
        <v>469</v>
      </c>
      <c r="J4">
        <v>2</v>
      </c>
      <c r="K4" s="24" t="s">
        <v>45</v>
      </c>
      <c r="L4" s="23">
        <f>IF(N4&lt;=0,0,L3)</f>
        <v>105974</v>
      </c>
      <c r="M4" s="23">
        <f t="shared" ref="M4:M67" si="0">IF(L4&lt;=0,0,L4-N4)</f>
        <v>84462</v>
      </c>
      <c r="N4" s="23">
        <f>IF(O3&lt;=0,0,INT(O3*($H$4/100)/12))</f>
        <v>21512</v>
      </c>
      <c r="O4" s="23">
        <f>IF(L4&lt;=0,0,(O3-M4))</f>
        <v>39631122</v>
      </c>
      <c r="Q4" s="2" t="s">
        <v>28</v>
      </c>
      <c r="R4" s="13">
        <f>IF(O26&lt;=0,0,O26)</f>
        <v>37761338</v>
      </c>
      <c r="S4" s="16">
        <f t="shared" ref="S4:S14" si="1">R4*0.007</f>
        <v>264329.36599999998</v>
      </c>
      <c r="T4" s="16">
        <f>S3+S4</f>
        <v>535817.23300000001</v>
      </c>
      <c r="U4" s="16">
        <f>IF(O3&lt;=0,0,(SUM(L3:L26)))</f>
        <v>2543376</v>
      </c>
      <c r="W4" s="2" t="s">
        <v>511</v>
      </c>
      <c r="X4" s="17">
        <f>計算用1!E41</f>
        <v>23.563180973611111</v>
      </c>
      <c r="AA4" s="136"/>
      <c r="AC4" s="2" t="s">
        <v>28</v>
      </c>
      <c r="AD4" s="77">
        <f>AD3-($AD$3-$AD$12)/9</f>
        <v>0.97333333333333338</v>
      </c>
      <c r="AF4" s="2" t="s">
        <v>28</v>
      </c>
      <c r="AG4" s="23">
        <f>H28</f>
        <v>3873.8666666666668</v>
      </c>
      <c r="AH4" s="23">
        <f>IF(真実の家賃!$I$16="",AG4*0.05,真実の家賃!$I$16*0.05)</f>
        <v>193.69333333333336</v>
      </c>
      <c r="AI4" s="23"/>
    </row>
    <row r="5" spans="1:35" ht="18.600000000000001" thickBot="1" x14ac:dyDescent="0.5">
      <c r="A5" s="86"/>
      <c r="B5" s="88"/>
      <c r="C5" s="127" t="s">
        <v>6</v>
      </c>
      <c r="D5" s="128"/>
      <c r="E5" s="19">
        <f>IF(H9="",$H$7*0.06,H9)</f>
        <v>238.79999999999998</v>
      </c>
      <c r="F5" s="3"/>
      <c r="G5" s="25" t="s">
        <v>467</v>
      </c>
      <c r="H5" s="37">
        <f>真実の家賃!I6</f>
        <v>35</v>
      </c>
      <c r="I5" t="s">
        <v>468</v>
      </c>
      <c r="J5">
        <v>3</v>
      </c>
      <c r="K5" s="24" t="s">
        <v>46</v>
      </c>
      <c r="L5" s="23">
        <f t="shared" ref="L5:L68" si="2">IF(N5&lt;=0,0,L4)</f>
        <v>105974</v>
      </c>
      <c r="M5" s="23">
        <f t="shared" si="0"/>
        <v>84508</v>
      </c>
      <c r="N5" s="23">
        <f>IF(O4&lt;=0,0,INT(O4*($H$4/100)/12))</f>
        <v>21466</v>
      </c>
      <c r="O5" s="23">
        <f t="shared" ref="O5:O68" si="3">IF(L5&lt;=0,0,(O4-M5))</f>
        <v>39546614</v>
      </c>
      <c r="Q5" s="2" t="s">
        <v>29</v>
      </c>
      <c r="R5" s="13">
        <f>IF(O38&lt;=0,0,O38)</f>
        <v>36732031</v>
      </c>
      <c r="S5" s="16">
        <f t="shared" si="1"/>
        <v>257124.217</v>
      </c>
      <c r="T5" s="16">
        <f>S3+S4+S5</f>
        <v>792941.45</v>
      </c>
      <c r="U5" s="16">
        <f>IF(O3&lt;=0,0,(SUM(L3:L38)))</f>
        <v>3815064</v>
      </c>
      <c r="W5" s="2" t="s">
        <v>512</v>
      </c>
      <c r="X5" s="17">
        <f>計算用1!E62</f>
        <v>18.885241342592582</v>
      </c>
      <c r="AA5" s="135"/>
      <c r="AC5" s="2" t="s">
        <v>29</v>
      </c>
      <c r="AD5" s="77">
        <f>AD4-($AD$3-$AD$12)/9</f>
        <v>0.94666666666666677</v>
      </c>
      <c r="AF5" s="2" t="s">
        <v>29</v>
      </c>
      <c r="AG5" s="23">
        <f>H49</f>
        <v>3767.7333333333336</v>
      </c>
      <c r="AH5" s="23">
        <f>IF(真実の家賃!$I$16="",AG5*0.05,真実の家賃!$I$16*0.05)</f>
        <v>188.38666666666668</v>
      </c>
      <c r="AI5" s="23"/>
    </row>
    <row r="6" spans="1:35" ht="18.600000000000001" thickBot="1" x14ac:dyDescent="0.5">
      <c r="A6" s="86"/>
      <c r="B6" s="91" t="s">
        <v>7</v>
      </c>
      <c r="C6" s="92"/>
      <c r="D6" s="92"/>
      <c r="E6" s="19">
        <f>SUM(E4:E5)</f>
        <v>238.79999999999998</v>
      </c>
      <c r="F6" s="3"/>
      <c r="G6" s="28" t="s">
        <v>3</v>
      </c>
      <c r="H6" s="37">
        <f>真実の家賃!I7</f>
        <v>0</v>
      </c>
      <c r="I6" t="s">
        <v>465</v>
      </c>
      <c r="J6">
        <v>4</v>
      </c>
      <c r="K6" s="24" t="s">
        <v>47</v>
      </c>
      <c r="L6" s="23">
        <f t="shared" si="2"/>
        <v>105974</v>
      </c>
      <c r="M6" s="23">
        <f t="shared" si="0"/>
        <v>84553</v>
      </c>
      <c r="N6" s="23">
        <f t="shared" ref="N6:N69" si="4">IF(O5&lt;=0,0,INT(O5*($H$4/100)/12))</f>
        <v>21421</v>
      </c>
      <c r="O6" s="23">
        <f t="shared" si="3"/>
        <v>39462061</v>
      </c>
      <c r="Q6" s="2" t="s">
        <v>30</v>
      </c>
      <c r="R6" s="13">
        <f>IF(O50&lt;=0,0,O50)</f>
        <v>35696012</v>
      </c>
      <c r="S6" s="16">
        <f t="shared" si="1"/>
        <v>249872.084</v>
      </c>
      <c r="T6" s="16">
        <f>S3+S4+S5+S6</f>
        <v>1042813.534</v>
      </c>
      <c r="U6" s="16">
        <f>IF(O3&lt;=0,0,(SUM(L3:L50)))</f>
        <v>5086752</v>
      </c>
      <c r="W6" s="2" t="s">
        <v>513</v>
      </c>
      <c r="X6" s="17">
        <f>計算用1!E83</f>
        <v>16.547396804166652</v>
      </c>
      <c r="AC6" s="2" t="s">
        <v>30</v>
      </c>
      <c r="AD6" s="77">
        <f>AD5-($AD$3-$AD$12)/9</f>
        <v>0.92000000000000015</v>
      </c>
      <c r="AF6" s="2" t="s">
        <v>30</v>
      </c>
      <c r="AG6" s="23">
        <f>H70</f>
        <v>3661.6000000000008</v>
      </c>
      <c r="AH6" s="23">
        <f>IF(真実の家賃!$I$16="",AG6*0.05,真実の家賃!$I$16*0.05)</f>
        <v>183.08000000000004</v>
      </c>
      <c r="AI6" s="23"/>
    </row>
    <row r="7" spans="1:35" ht="18.600000000000001" thickBot="1" x14ac:dyDescent="0.5">
      <c r="A7" s="86"/>
      <c r="B7" s="7"/>
      <c r="C7" s="5" t="s">
        <v>8</v>
      </c>
      <c r="D7" s="5"/>
      <c r="E7" s="49">
        <f>_xlfn.SWITCH(H2,1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127.1688</v>
      </c>
      <c r="F7" s="3"/>
      <c r="G7" s="28" t="s">
        <v>16</v>
      </c>
      <c r="H7" s="37">
        <f>_xlfn.IFS(H2&gt;=30,真実の家賃!$I$8*真実の家賃!$I$11/100,H2&gt;=20,真実の家賃!$I$8*真実の家賃!$I$10/100,H2&gt;=10,真実の家賃!$I$8*真実の家賃!$I$9/100,H2&gt;=1,真実の家賃!$I$8)</f>
        <v>3980</v>
      </c>
      <c r="I7" t="s">
        <v>465</v>
      </c>
      <c r="J7">
        <v>5</v>
      </c>
      <c r="K7" s="24" t="s">
        <v>48</v>
      </c>
      <c r="L7" s="23">
        <f t="shared" si="2"/>
        <v>105974</v>
      </c>
      <c r="M7" s="23">
        <f t="shared" si="0"/>
        <v>84599</v>
      </c>
      <c r="N7" s="23">
        <f t="shared" si="4"/>
        <v>21375</v>
      </c>
      <c r="O7" s="23">
        <f t="shared" si="3"/>
        <v>39377462</v>
      </c>
      <c r="Q7" s="2" t="s">
        <v>31</v>
      </c>
      <c r="R7" s="13">
        <f>IF(O62&lt;=0,0,O62)</f>
        <v>34653240</v>
      </c>
      <c r="S7" s="16">
        <f t="shared" si="1"/>
        <v>242572.68</v>
      </c>
      <c r="T7" s="16">
        <f>S3+S4+S5+S6+S7</f>
        <v>1285386.2139999999</v>
      </c>
      <c r="U7" s="16">
        <f>IF(O3&lt;=0,0,(SUM(L3:L62)))</f>
        <v>6358440</v>
      </c>
      <c r="W7" s="2" t="s">
        <v>514</v>
      </c>
      <c r="X7" s="17">
        <f>計算用1!E104</f>
        <v>15.145600754444429</v>
      </c>
      <c r="AC7" s="2" t="s">
        <v>31</v>
      </c>
      <c r="AD7" s="77">
        <f t="shared" ref="AD7:AD10" si="5">AD6-($AD$3-$AD$12)/9</f>
        <v>0.89333333333333353</v>
      </c>
      <c r="AF7" s="2" t="s">
        <v>31</v>
      </c>
      <c r="AG7" s="23">
        <f>H91</f>
        <v>3555.4666666666676</v>
      </c>
      <c r="AH7" s="23">
        <f>IF(真実の家賃!$I$16="",AG7*0.05,真実の家賃!$I$16*0.05)</f>
        <v>177.7733333333334</v>
      </c>
      <c r="AI7" s="23"/>
    </row>
    <row r="8" spans="1:35" ht="18.600000000000001" thickBot="1" x14ac:dyDescent="0.5">
      <c r="A8" s="86"/>
      <c r="B8" s="8"/>
      <c r="C8" s="127" t="s">
        <v>2</v>
      </c>
      <c r="D8" s="128"/>
      <c r="E8" s="19">
        <f>IF(H10="",H2*15,H10)</f>
        <v>15</v>
      </c>
      <c r="F8" s="3"/>
      <c r="G8" s="56" t="s">
        <v>573</v>
      </c>
      <c r="H8" s="40" t="str">
        <f>IF(真実の家賃!I12="","",真実の家賃!I12)</f>
        <v/>
      </c>
      <c r="I8" t="s">
        <v>465</v>
      </c>
      <c r="J8">
        <v>6</v>
      </c>
      <c r="K8" s="24" t="s">
        <v>49</v>
      </c>
      <c r="L8" s="23">
        <f t="shared" si="2"/>
        <v>105974</v>
      </c>
      <c r="M8" s="23">
        <f t="shared" si="0"/>
        <v>84645</v>
      </c>
      <c r="N8" s="23">
        <f t="shared" si="4"/>
        <v>21329</v>
      </c>
      <c r="O8" s="23">
        <f t="shared" si="3"/>
        <v>39292817</v>
      </c>
      <c r="Q8" s="2" t="s">
        <v>32</v>
      </c>
      <c r="R8" s="13">
        <f>IF(O74&lt;=0,0,O74)</f>
        <v>33603669</v>
      </c>
      <c r="S8" s="16">
        <f t="shared" si="1"/>
        <v>235225.68300000002</v>
      </c>
      <c r="T8" s="16">
        <f>S3+S4+S5+S6+S7+S8</f>
        <v>1520611.8969999999</v>
      </c>
      <c r="U8" s="16">
        <f>IF(O3&lt;=0,0,(SUM(L3:L74)))</f>
        <v>7630128</v>
      </c>
      <c r="W8" s="2" t="s">
        <v>515</v>
      </c>
      <c r="X8" s="17">
        <f>計算用1!E125</f>
        <v>14.211831161574063</v>
      </c>
      <c r="AC8" s="2" t="s">
        <v>32</v>
      </c>
      <c r="AD8" s="77">
        <f t="shared" si="5"/>
        <v>0.86666666666666692</v>
      </c>
      <c r="AF8" s="2" t="s">
        <v>32</v>
      </c>
      <c r="AG8" s="23">
        <f>H112</f>
        <v>3449.3333333333344</v>
      </c>
      <c r="AH8" s="23">
        <f>IF(真実の家賃!$I$16="",AG8*0.05,真実の家賃!$I$16*0.05)</f>
        <v>172.46666666666673</v>
      </c>
      <c r="AI8" s="23"/>
    </row>
    <row r="9" spans="1:35" ht="18.600000000000001" thickBot="1" x14ac:dyDescent="0.5">
      <c r="A9" s="86"/>
      <c r="B9" s="8"/>
      <c r="C9" s="129" t="s">
        <v>9</v>
      </c>
      <c r="D9" s="129"/>
      <c r="E9" s="19">
        <f>_xlfn.SWITCH(H2,1,-T3/10000,2,-T4/10000,3,-T5/10000,4,-T6/10000,5,-T7/10000,6,-T8/10000,7,-T9/10000,8,-T10/10000,9,-T11/10000,10,-T12/10000,11,-T13/10000,12,-T14/10000,13,-T15/10000,14,-T16/10000,15,-T17/10000,16,-T18/10000,17,-T19/10000,18,-T20/10000,19,-T21/10000,20,-T22/10000,21,-T23/10000,22,-T24/10000,23,-T25/10000,24,-T26/10000,25,-T27/10000,26,-T28/10000,27,-T29/10000,28,-T30/10000,29,-T31/10000,30,-T32/10000,31,-T33/10000,32,-T34/10000,33,-T35/10000,34,-T36/10000,35,-T37/10000,36,-T38/10000,37,-T39/10000,38,-T40/10000,39,-T41/10000,40,-T42/10000,41,-T43/10000,42,-T44/10000,43,-T45/10000,44,-T46/10000,45,-T47/10000,46,-T48/10000,47,-T49/10000,48,-T50/10000,49,-T51/10000,50,-T52/10000,"該当なし")</f>
        <v>-27.148786700000002</v>
      </c>
      <c r="F9" s="3"/>
      <c r="G9" s="34" t="s">
        <v>6</v>
      </c>
      <c r="H9" s="40" t="str">
        <f>IF(真実の家賃!I13="","",真実の家賃!I13)</f>
        <v/>
      </c>
      <c r="I9" t="s">
        <v>465</v>
      </c>
      <c r="J9">
        <v>7</v>
      </c>
      <c r="K9" s="24" t="s">
        <v>50</v>
      </c>
      <c r="L9" s="23">
        <f t="shared" si="2"/>
        <v>105974</v>
      </c>
      <c r="M9" s="23">
        <f t="shared" si="0"/>
        <v>84691</v>
      </c>
      <c r="N9" s="23">
        <f t="shared" si="4"/>
        <v>21283</v>
      </c>
      <c r="O9" s="23">
        <f t="shared" si="3"/>
        <v>39208126</v>
      </c>
      <c r="Q9" s="2" t="s">
        <v>33</v>
      </c>
      <c r="R9" s="13">
        <f>IF(O86&lt;=0,0,O86)</f>
        <v>32547255</v>
      </c>
      <c r="S9" s="16">
        <f t="shared" si="1"/>
        <v>227830.785</v>
      </c>
      <c r="T9" s="16">
        <f>S3+S4+S5+S6+S7+S8+S9</f>
        <v>1748442.6819999998</v>
      </c>
      <c r="U9" s="16">
        <f>IF(O3&lt;=0,0,(SUM(L3:L86)))</f>
        <v>8901816</v>
      </c>
      <c r="W9" s="2" t="s">
        <v>516</v>
      </c>
      <c r="X9" s="17">
        <f>計算用1!E146</f>
        <v>13.545509902380948</v>
      </c>
      <c r="AC9" s="2" t="s">
        <v>33</v>
      </c>
      <c r="AD9" s="77">
        <f>AD8-($AD$3-$AD$12)/9</f>
        <v>0.8400000000000003</v>
      </c>
      <c r="AF9" s="2" t="s">
        <v>33</v>
      </c>
      <c r="AG9" s="23">
        <f>H133</f>
        <v>3343.2000000000012</v>
      </c>
      <c r="AH9" s="23">
        <f>IF(真実の家賃!$I$16="",AG9*0.05,真実の家賃!$I$16*0.05)</f>
        <v>167.16000000000008</v>
      </c>
      <c r="AI9" s="23"/>
    </row>
    <row r="10" spans="1:35" ht="18.600000000000001" thickBot="1" x14ac:dyDescent="0.5">
      <c r="A10" s="86"/>
      <c r="B10" s="8"/>
      <c r="C10" s="130" t="s">
        <v>10</v>
      </c>
      <c r="D10" s="131"/>
      <c r="E10" s="19">
        <f>IF(H8="",$AA$3,H2*H8)</f>
        <v>0</v>
      </c>
      <c r="F10" s="3"/>
      <c r="G10" s="28" t="s">
        <v>560</v>
      </c>
      <c r="H10" s="40" t="str">
        <f>IF(真実の家賃!I14="","",真実の家賃!I14)</f>
        <v/>
      </c>
      <c r="I10" t="s">
        <v>465</v>
      </c>
      <c r="J10">
        <v>8</v>
      </c>
      <c r="K10" s="24" t="s">
        <v>51</v>
      </c>
      <c r="L10" s="23">
        <f t="shared" si="2"/>
        <v>105974</v>
      </c>
      <c r="M10" s="23">
        <f t="shared" si="0"/>
        <v>84737</v>
      </c>
      <c r="N10" s="23">
        <f t="shared" si="4"/>
        <v>21237</v>
      </c>
      <c r="O10" s="23">
        <f t="shared" si="3"/>
        <v>39123389</v>
      </c>
      <c r="Q10" s="2" t="s">
        <v>34</v>
      </c>
      <c r="R10" s="13">
        <f>IF(O98&lt;=0,0,O98)</f>
        <v>31483956</v>
      </c>
      <c r="S10" s="16">
        <f t="shared" si="1"/>
        <v>220387.69200000001</v>
      </c>
      <c r="T10" s="16">
        <f>S3+S4+S5+S6+S7+S8+S9+S10</f>
        <v>1968830.3739999998</v>
      </c>
      <c r="U10" s="16">
        <f>IF(O3&lt;=0,0,(SUM(L3:L98)))</f>
        <v>10173504</v>
      </c>
      <c r="W10" s="2" t="s">
        <v>517</v>
      </c>
      <c r="X10" s="17">
        <f>計算用1!E167</f>
        <v>13.046350304861102</v>
      </c>
      <c r="AC10" s="2" t="s">
        <v>34</v>
      </c>
      <c r="AD10" s="77">
        <f t="shared" si="5"/>
        <v>0.81333333333333369</v>
      </c>
      <c r="AF10" s="2" t="s">
        <v>34</v>
      </c>
      <c r="AG10" s="23">
        <f>H154</f>
        <v>3237.066666666668</v>
      </c>
      <c r="AH10" s="23">
        <f>IF(真実の家賃!$I$16="",AG10*0.05,真実の家賃!$I$16*0.05)</f>
        <v>161.85333333333341</v>
      </c>
      <c r="AI10" s="23"/>
    </row>
    <row r="11" spans="1:35" ht="18.600000000000001" thickBot="1" x14ac:dyDescent="0.5">
      <c r="A11" s="86"/>
      <c r="B11" s="132" t="s">
        <v>11</v>
      </c>
      <c r="C11" s="126"/>
      <c r="D11" s="126"/>
      <c r="E11" s="19">
        <f>SUM(E7:E10)</f>
        <v>115.0200133</v>
      </c>
      <c r="F11" s="3"/>
      <c r="G11" s="33" t="s">
        <v>561</v>
      </c>
      <c r="H11" s="41" t="str">
        <f>IF(真実の家賃!I15="","",真実の家賃!I15)</f>
        <v/>
      </c>
      <c r="I11" t="s">
        <v>465</v>
      </c>
      <c r="J11">
        <v>9</v>
      </c>
      <c r="K11" s="24" t="s">
        <v>52</v>
      </c>
      <c r="L11" s="23">
        <f t="shared" si="2"/>
        <v>105974</v>
      </c>
      <c r="M11" s="23">
        <f t="shared" si="0"/>
        <v>84783</v>
      </c>
      <c r="N11" s="23">
        <f t="shared" si="4"/>
        <v>21191</v>
      </c>
      <c r="O11" s="23">
        <f t="shared" si="3"/>
        <v>39038606</v>
      </c>
      <c r="Q11" s="2" t="s">
        <v>35</v>
      </c>
      <c r="R11" s="13">
        <f>IF(O110&lt;=0,0,O110)</f>
        <v>30413722</v>
      </c>
      <c r="S11" s="16">
        <f t="shared" si="1"/>
        <v>212896.054</v>
      </c>
      <c r="T11" s="16">
        <f>S3+S4+S5+S6+S7+S8+S9+S10+S11</f>
        <v>2181726.4279999998</v>
      </c>
      <c r="U11" s="16">
        <f>IF(O3&lt;=0,0,(SUM(L3:L110)))</f>
        <v>11445192</v>
      </c>
      <c r="W11" s="2" t="s">
        <v>518</v>
      </c>
      <c r="X11" s="17">
        <f>計算用1!E188</f>
        <v>12.65863046790122</v>
      </c>
      <c r="AC11" s="2" t="s">
        <v>35</v>
      </c>
      <c r="AD11" s="77">
        <f>AD10-($AD$3-$AD$12)/9</f>
        <v>0.78666666666666707</v>
      </c>
      <c r="AF11" s="2" t="s">
        <v>35</v>
      </c>
      <c r="AG11" s="23">
        <f>H175</f>
        <v>3130.9333333333348</v>
      </c>
      <c r="AH11" s="23">
        <f>IF(真実の家賃!$I$16="",AG11*0.05,真実の家賃!$I$16*0.05)</f>
        <v>156.54666666666674</v>
      </c>
      <c r="AI11" s="23"/>
    </row>
    <row r="12" spans="1:35" ht="18.600000000000001" thickBot="1" x14ac:dyDescent="0.5">
      <c r="A12" s="86"/>
      <c r="B12" s="7"/>
      <c r="C12" s="127" t="s">
        <v>12</v>
      </c>
      <c r="D12" s="128"/>
      <c r="E12" s="19">
        <f>_xlfn.SWITCH(H2,1,R3/10000,2,R4/10000,3,R5/10000,4,R6/10000,5,R7/10000,6,R8/10000,7,R9/10000,8,R10/10000,9,R11/10000,10,R12/10000,11,R13/10000,12,R14/10000,13,R15/10000,14,R16/10000,15,R17/10000,16,R18/10000,17,R19/10000,18,R20/10000,19,R21/10000,20,R22/10000,21,R23/10000,22,R24/10000,23,R25/10000,24,R26/10000,25,R27/10000,26,R28/10000,27,R29/10000,28,R30/10000,29,R31/10000,30,R32/10000,31,R33/10000,32,R34/10000,33,R35/10000,34,R36/10000,35,R37/10000,36,R38/10000,37,R39/10000,38,R40/10000,39,R41/10000,40,R42/10000,41,R43/10000,42,R44/10000,43,R45/10000,44,R46/10000,45,R47/10000,46,R48/10000,47,R49/10000,48,R50/10000,49,R51/10000,50,R52/10000,"該当なし")</f>
        <v>3878.3980999999999</v>
      </c>
      <c r="F12" s="3"/>
      <c r="G12" s="32"/>
      <c r="J12">
        <v>10</v>
      </c>
      <c r="K12" s="24" t="s">
        <v>53</v>
      </c>
      <c r="L12" s="23">
        <f t="shared" si="2"/>
        <v>105974</v>
      </c>
      <c r="M12" s="23">
        <f t="shared" si="0"/>
        <v>84829</v>
      </c>
      <c r="N12" s="23">
        <f t="shared" si="4"/>
        <v>21145</v>
      </c>
      <c r="O12" s="23">
        <f t="shared" si="3"/>
        <v>38953777</v>
      </c>
      <c r="Q12" s="2" t="s">
        <v>36</v>
      </c>
      <c r="R12" s="13">
        <f>IF(O122&lt;=0,0,O122)</f>
        <v>29336513</v>
      </c>
      <c r="S12" s="16">
        <f t="shared" si="1"/>
        <v>205355.59100000001</v>
      </c>
      <c r="T12" s="16">
        <f>S3+S4+S5+S6+S7+S8+S9+S10+S11+S12</f>
        <v>2387082.0189999999</v>
      </c>
      <c r="U12" s="16">
        <f>IF(O3&lt;=0,0,(SUM(L3:L122)))</f>
        <v>12716880</v>
      </c>
      <c r="W12" s="2" t="s">
        <v>519</v>
      </c>
      <c r="X12" s="17">
        <f>計算用1!E209</f>
        <v>12.348925817500003</v>
      </c>
      <c r="AC12" s="2" t="s">
        <v>36</v>
      </c>
      <c r="AD12" s="77">
        <f>真実の家賃!I9/100</f>
        <v>0.76</v>
      </c>
      <c r="AF12" s="2" t="s">
        <v>36</v>
      </c>
      <c r="AG12" s="23">
        <f>H196</f>
        <v>3024.8</v>
      </c>
      <c r="AH12" s="23">
        <f>IF(真実の家賃!$I$16="",AG12*0.05,真実の家賃!$I$16*0.05)</f>
        <v>151.24</v>
      </c>
      <c r="AI12" s="23"/>
    </row>
    <row r="13" spans="1:35" ht="18.600000000000001" thickBot="1" x14ac:dyDescent="0.5">
      <c r="A13" s="86"/>
      <c r="B13" s="8"/>
      <c r="C13" s="127" t="s">
        <v>13</v>
      </c>
      <c r="D13" s="128"/>
      <c r="E13" s="19">
        <f>IF(H11="",H7*0.05,H11)</f>
        <v>199</v>
      </c>
      <c r="F13" s="3"/>
      <c r="G13" s="30"/>
      <c r="J13">
        <v>11</v>
      </c>
      <c r="K13" s="24" t="s">
        <v>54</v>
      </c>
      <c r="L13" s="23">
        <f t="shared" si="2"/>
        <v>105974</v>
      </c>
      <c r="M13" s="23">
        <f t="shared" si="0"/>
        <v>84875</v>
      </c>
      <c r="N13" s="23">
        <f t="shared" si="4"/>
        <v>21099</v>
      </c>
      <c r="O13" s="23">
        <f t="shared" si="3"/>
        <v>38868902</v>
      </c>
      <c r="Q13" s="2" t="s">
        <v>37</v>
      </c>
      <c r="R13" s="13">
        <f>IF(O134&lt;=0,0,O134)</f>
        <v>28252280</v>
      </c>
      <c r="S13" s="16">
        <f t="shared" si="1"/>
        <v>197765.96</v>
      </c>
      <c r="T13" s="16">
        <f>S3+S4+S5+S6+S7+S8+S9+S10+S11+S12+S13</f>
        <v>2584847.9789999998</v>
      </c>
      <c r="U13" s="16">
        <f>IF(O3&lt;=0,0,(SUM(L3:L134)))</f>
        <v>13988568</v>
      </c>
      <c r="W13" s="2" t="s">
        <v>520</v>
      </c>
      <c r="X13" s="17">
        <f>計算用1!E230</f>
        <v>11.745867019276092</v>
      </c>
      <c r="AC13" s="2" t="s">
        <v>37</v>
      </c>
      <c r="AD13" s="77">
        <f>AD12-($AD$12-$AD$22)/9</f>
        <v>0.74555555555555553</v>
      </c>
      <c r="AF13" s="2" t="s">
        <v>37</v>
      </c>
      <c r="AG13" s="23">
        <f>H217</f>
        <v>2967.3111111111111</v>
      </c>
      <c r="AH13" s="23">
        <f>IF(真実の家賃!$I$16="",AG13*0.05,真実の家賃!$I$16*0.05)</f>
        <v>148.36555555555557</v>
      </c>
      <c r="AI13" s="23"/>
    </row>
    <row r="14" spans="1:35" ht="18.600000000000001" thickBot="1" x14ac:dyDescent="0.5">
      <c r="A14" s="86"/>
      <c r="B14" s="132" t="s">
        <v>14</v>
      </c>
      <c r="C14" s="126"/>
      <c r="D14" s="126"/>
      <c r="E14" s="19">
        <f>SUM(E12:E13)</f>
        <v>4077.3980999999999</v>
      </c>
      <c r="F14" s="3"/>
      <c r="G14" s="30"/>
      <c r="J14">
        <v>12</v>
      </c>
      <c r="K14" s="24" t="s">
        <v>55</v>
      </c>
      <c r="L14" s="23">
        <f t="shared" si="2"/>
        <v>105974</v>
      </c>
      <c r="M14" s="23">
        <f t="shared" si="0"/>
        <v>84921</v>
      </c>
      <c r="N14" s="23">
        <f t="shared" si="4"/>
        <v>21053</v>
      </c>
      <c r="O14" s="23">
        <f t="shared" si="3"/>
        <v>38783981</v>
      </c>
      <c r="Q14" s="2" t="s">
        <v>38</v>
      </c>
      <c r="R14" s="13">
        <f>IF(O146&lt;=0,0,O146)</f>
        <v>27160978</v>
      </c>
      <c r="S14" s="16">
        <f t="shared" si="1"/>
        <v>190126.84599999999</v>
      </c>
      <c r="T14" s="16">
        <f>S3+S4+S5+S6+S7+S8+S9+S10+S11+S12+S13+S14</f>
        <v>2774974.8249999997</v>
      </c>
      <c r="U14" s="16">
        <f>IF(O3&lt;=0,0,(SUM(L3:L146)))</f>
        <v>15260256</v>
      </c>
      <c r="W14" s="2" t="s">
        <v>521</v>
      </c>
      <c r="X14" s="17">
        <f>計算用1!E251</f>
        <v>11.243713933256174</v>
      </c>
      <c r="AC14" s="2" t="s">
        <v>38</v>
      </c>
      <c r="AD14" s="77">
        <f>AD13-($AD$12-$AD$22)/9</f>
        <v>0.73111111111111104</v>
      </c>
      <c r="AF14" s="2" t="s">
        <v>38</v>
      </c>
      <c r="AG14" s="23">
        <f>H238</f>
        <v>2909.8222222222221</v>
      </c>
      <c r="AH14" s="23">
        <f>IF(真実の家賃!$I$16="",AG14*0.05,真実の家賃!$I$16*0.05)</f>
        <v>145.49111111111111</v>
      </c>
      <c r="AI14" s="23"/>
    </row>
    <row r="15" spans="1:35" ht="18.600000000000001" thickBot="1" x14ac:dyDescent="0.5">
      <c r="A15" s="97" t="s">
        <v>15</v>
      </c>
      <c r="B15" s="98"/>
      <c r="C15" s="98"/>
      <c r="D15" s="99"/>
      <c r="E15" s="20">
        <f>E6+E11+E14</f>
        <v>4431.2181132999995</v>
      </c>
      <c r="F15" s="3"/>
      <c r="G15" s="30"/>
      <c r="J15">
        <v>13</v>
      </c>
      <c r="K15" s="24" t="s">
        <v>56</v>
      </c>
      <c r="L15" s="23">
        <f t="shared" si="2"/>
        <v>105974</v>
      </c>
      <c r="M15" s="23">
        <f t="shared" si="0"/>
        <v>84967</v>
      </c>
      <c r="N15" s="23">
        <f t="shared" si="4"/>
        <v>21007</v>
      </c>
      <c r="O15" s="23">
        <f t="shared" si="3"/>
        <v>38699014</v>
      </c>
      <c r="Q15" s="2" t="s">
        <v>39</v>
      </c>
      <c r="R15" s="13">
        <f>IF(O158&lt;=0,0,O158)</f>
        <v>26062561</v>
      </c>
      <c r="S15" s="16">
        <f>R15*0.007</f>
        <v>182437.927</v>
      </c>
      <c r="T15" s="16">
        <f>S3+S4+S5+S6+S7+S8+S9+S10+S11+S12+S13+S14+S15</f>
        <v>2957412.7519999999</v>
      </c>
      <c r="U15" s="16">
        <f>IF(O3&lt;=0,0,(SUM(L3:L158)))</f>
        <v>16531944</v>
      </c>
      <c r="W15" s="2" t="s">
        <v>522</v>
      </c>
      <c r="X15" s="17">
        <f>計算用1!E272</f>
        <v>10.819183064957269</v>
      </c>
      <c r="AC15" s="2" t="s">
        <v>39</v>
      </c>
      <c r="AD15" s="77">
        <f t="shared" ref="AD15:AD21" si="6">AD14-($AD$12-$AD$22)/9</f>
        <v>0.71666666666666656</v>
      </c>
      <c r="AF15" s="2" t="s">
        <v>39</v>
      </c>
      <c r="AG15" s="23">
        <f>H259</f>
        <v>2852.333333333333</v>
      </c>
      <c r="AH15" s="23">
        <f>IF(真実の家賃!$I$16="",AG15*0.05,真実の家賃!$I$16*0.05)</f>
        <v>142.61666666666665</v>
      </c>
      <c r="AI15" s="23"/>
    </row>
    <row r="16" spans="1:35" ht="18.600000000000001" thickBot="1" x14ac:dyDescent="0.5">
      <c r="A16" s="6"/>
      <c r="B16" s="126" t="s">
        <v>16</v>
      </c>
      <c r="C16" s="126"/>
      <c r="D16" s="126"/>
      <c r="E16" s="49">
        <f>H7</f>
        <v>3980</v>
      </c>
      <c r="F16" s="3"/>
      <c r="J16">
        <v>14</v>
      </c>
      <c r="K16" s="24" t="s">
        <v>57</v>
      </c>
      <c r="L16" s="23">
        <f t="shared" si="2"/>
        <v>105974</v>
      </c>
      <c r="M16" s="23">
        <f t="shared" si="0"/>
        <v>85013</v>
      </c>
      <c r="N16" s="23">
        <f t="shared" si="4"/>
        <v>20961</v>
      </c>
      <c r="O16" s="23">
        <f t="shared" si="3"/>
        <v>38614001</v>
      </c>
      <c r="Q16" s="2" t="s">
        <v>470</v>
      </c>
      <c r="R16" s="13">
        <f>IF(O170&lt;=0,0,O170)</f>
        <v>24956985</v>
      </c>
      <c r="S16" s="16">
        <f>$S$15</f>
        <v>182437.927</v>
      </c>
      <c r="T16" s="16">
        <f>$T$15</f>
        <v>2957412.7519999999</v>
      </c>
      <c r="U16" s="16">
        <f>IF(O3&lt;=0,0,(SUM(L3:L170)))</f>
        <v>17803632</v>
      </c>
      <c r="W16" s="2" t="s">
        <v>523</v>
      </c>
      <c r="X16" s="17">
        <f>計算用1!E293</f>
        <v>10.559632158201063</v>
      </c>
      <c r="AC16" s="2" t="s">
        <v>470</v>
      </c>
      <c r="AD16" s="77">
        <f t="shared" si="6"/>
        <v>0.70222222222222208</v>
      </c>
      <c r="AF16" s="2" t="s">
        <v>470</v>
      </c>
      <c r="AG16" s="23">
        <f>H280</f>
        <v>2794.844444444444</v>
      </c>
      <c r="AH16" s="23">
        <f>IF(真実の家賃!$I$16="",AG16*0.05,真実の家賃!$I$16*0.05)</f>
        <v>139.74222222222221</v>
      </c>
      <c r="AI16" s="23"/>
    </row>
    <row r="17" spans="1:35" ht="18.600000000000001" thickBot="1" x14ac:dyDescent="0.5">
      <c r="A17" s="97" t="s">
        <v>17</v>
      </c>
      <c r="B17" s="98"/>
      <c r="C17" s="98"/>
      <c r="D17" s="99"/>
      <c r="E17" s="20">
        <f>E16</f>
        <v>3980</v>
      </c>
      <c r="F17" s="3"/>
      <c r="J17">
        <v>15</v>
      </c>
      <c r="K17" s="24" t="s">
        <v>58</v>
      </c>
      <c r="L17" s="23">
        <f t="shared" si="2"/>
        <v>105974</v>
      </c>
      <c r="M17" s="23">
        <f t="shared" si="0"/>
        <v>85059</v>
      </c>
      <c r="N17" s="23">
        <f t="shared" si="4"/>
        <v>20915</v>
      </c>
      <c r="O17" s="23">
        <f t="shared" si="3"/>
        <v>38528942</v>
      </c>
      <c r="P17" s="13"/>
      <c r="Q17" s="2" t="s">
        <v>471</v>
      </c>
      <c r="R17" s="13">
        <f>IF(O182&lt;=0,0,O182)</f>
        <v>23844200</v>
      </c>
      <c r="S17" s="16">
        <f>$S$15</f>
        <v>182437.927</v>
      </c>
      <c r="T17" s="16">
        <f t="shared" ref="T17:T52" si="7">$T$15</f>
        <v>2957412.7519999999</v>
      </c>
      <c r="U17" s="16">
        <f>IF(O3&lt;=0,0,(SUM(L3:L182)))</f>
        <v>19075320</v>
      </c>
      <c r="W17" s="2" t="s">
        <v>524</v>
      </c>
      <c r="X17" s="17">
        <f>計算用1!E314</f>
        <v>10.330683039012349</v>
      </c>
      <c r="AC17" s="2" t="s">
        <v>471</v>
      </c>
      <c r="AD17" s="77">
        <f t="shared" si="6"/>
        <v>0.6877777777777776</v>
      </c>
      <c r="AF17" s="2" t="s">
        <v>471</v>
      </c>
      <c r="AG17" s="23">
        <f>H301</f>
        <v>2737.3555555555549</v>
      </c>
      <c r="AH17" s="23">
        <f>IF(真実の家賃!$I$16="",AG17*0.05,真実の家賃!$I$16*0.05)</f>
        <v>136.86777777777775</v>
      </c>
      <c r="AI17" s="23"/>
    </row>
    <row r="18" spans="1:35" ht="18.600000000000001" thickBot="1" x14ac:dyDescent="0.5">
      <c r="A18" s="96" t="s">
        <v>18</v>
      </c>
      <c r="B18" s="96"/>
      <c r="C18" s="96"/>
      <c r="D18" s="96"/>
      <c r="E18" s="14">
        <f>12*H2</f>
        <v>12</v>
      </c>
      <c r="F18" s="3"/>
      <c r="J18">
        <v>16</v>
      </c>
      <c r="K18" s="24" t="s">
        <v>59</v>
      </c>
      <c r="L18" s="23">
        <f t="shared" si="2"/>
        <v>105974</v>
      </c>
      <c r="M18" s="23">
        <f t="shared" si="0"/>
        <v>85105</v>
      </c>
      <c r="N18" s="23">
        <f t="shared" si="4"/>
        <v>20869</v>
      </c>
      <c r="O18" s="23">
        <f t="shared" si="3"/>
        <v>38443837</v>
      </c>
      <c r="P18" s="23"/>
      <c r="Q18" s="2" t="s">
        <v>472</v>
      </c>
      <c r="R18" s="13">
        <f>IF(O194&lt;=0,0,O194)</f>
        <v>22724160</v>
      </c>
      <c r="S18" s="16">
        <f t="shared" ref="S18:S52" si="8">$S$15</f>
        <v>182437.927</v>
      </c>
      <c r="T18" s="16">
        <f t="shared" si="7"/>
        <v>2957412.7519999999</v>
      </c>
      <c r="U18" s="16">
        <f>IF(O3&lt;=0,0,(SUM(L3:L194)))</f>
        <v>20347008</v>
      </c>
      <c r="W18" s="2" t="s">
        <v>525</v>
      </c>
      <c r="X18" s="17">
        <f>計算用1!E335</f>
        <v>10.126573913888896</v>
      </c>
      <c r="AC18" s="2" t="s">
        <v>472</v>
      </c>
      <c r="AD18" s="77">
        <f t="shared" si="6"/>
        <v>0.67333333333333312</v>
      </c>
      <c r="AF18" s="2" t="s">
        <v>472</v>
      </c>
      <c r="AG18" s="23">
        <f>H322</f>
        <v>2679.8666666666659</v>
      </c>
      <c r="AH18" s="23">
        <f>IF(真実の家賃!$I$16="",AG18*0.05,真実の家賃!$I$16*0.05)</f>
        <v>133.99333333333331</v>
      </c>
      <c r="AI18" s="23"/>
    </row>
    <row r="19" spans="1:35" ht="18.600000000000001" thickBot="1" x14ac:dyDescent="0.5">
      <c r="A19" s="3"/>
      <c r="B19" s="3"/>
      <c r="C19" s="3"/>
      <c r="D19" s="3"/>
      <c r="E19" s="3"/>
      <c r="F19" s="3"/>
      <c r="J19">
        <v>17</v>
      </c>
      <c r="K19" s="24" t="s">
        <v>60</v>
      </c>
      <c r="L19" s="23">
        <f t="shared" si="2"/>
        <v>105974</v>
      </c>
      <c r="M19" s="23">
        <f t="shared" si="0"/>
        <v>85151</v>
      </c>
      <c r="N19" s="23">
        <f t="shared" si="4"/>
        <v>20823</v>
      </c>
      <c r="O19" s="23">
        <f t="shared" si="3"/>
        <v>38358686</v>
      </c>
      <c r="P19" s="23"/>
      <c r="Q19" s="2" t="s">
        <v>473</v>
      </c>
      <c r="R19" s="13">
        <f>IF(O206&lt;=0,0,O206)</f>
        <v>21596819</v>
      </c>
      <c r="S19" s="16">
        <f t="shared" si="8"/>
        <v>182437.927</v>
      </c>
      <c r="T19" s="16">
        <f t="shared" si="7"/>
        <v>2957412.7519999999</v>
      </c>
      <c r="U19" s="16">
        <f>IF(O3&lt;=0,0,(SUM(L3:L206)))</f>
        <v>21618696</v>
      </c>
      <c r="W19" s="2" t="s">
        <v>526</v>
      </c>
      <c r="X19" s="17">
        <f>計算用1!E356</f>
        <v>9.9428987054466287</v>
      </c>
      <c r="AC19" s="2" t="s">
        <v>473</v>
      </c>
      <c r="AD19" s="77">
        <f t="shared" si="6"/>
        <v>0.65888888888888864</v>
      </c>
      <c r="AF19" s="2" t="s">
        <v>473</v>
      </c>
      <c r="AG19" s="23">
        <f>H343</f>
        <v>2622.3777777777768</v>
      </c>
      <c r="AH19" s="23">
        <f>IF(真実の家賃!$I$16="",AG19*0.05,真実の家賃!$I$16*0.05)</f>
        <v>131.11888888888885</v>
      </c>
      <c r="AI19" s="23"/>
    </row>
    <row r="20" spans="1:35" ht="18.600000000000001" thickBot="1" x14ac:dyDescent="0.5">
      <c r="A20" s="12" t="s">
        <v>19</v>
      </c>
      <c r="B20" s="12"/>
      <c r="C20" s="12"/>
      <c r="D20" s="12"/>
      <c r="E20" s="15">
        <f>-((E17-E15)/E18)</f>
        <v>37.601509441666622</v>
      </c>
      <c r="F20" s="3" t="s">
        <v>20</v>
      </c>
      <c r="J20">
        <v>18</v>
      </c>
      <c r="K20" s="24" t="s">
        <v>61</v>
      </c>
      <c r="L20" s="23">
        <f t="shared" si="2"/>
        <v>105974</v>
      </c>
      <c r="M20" s="23">
        <f t="shared" si="0"/>
        <v>85197</v>
      </c>
      <c r="N20" s="23">
        <f t="shared" si="4"/>
        <v>20777</v>
      </c>
      <c r="O20" s="23">
        <f t="shared" si="3"/>
        <v>38273489</v>
      </c>
      <c r="P20" s="23"/>
      <c r="Q20" s="2" t="s">
        <v>474</v>
      </c>
      <c r="R20" s="13">
        <f>IF(O218&lt;=0,0,O218)</f>
        <v>20462128</v>
      </c>
      <c r="S20" s="16">
        <f t="shared" si="8"/>
        <v>182437.927</v>
      </c>
      <c r="T20" s="16">
        <f t="shared" si="7"/>
        <v>2957412.7519999999</v>
      </c>
      <c r="U20" s="16">
        <f>IF(O3&lt;=0,0,(SUM(L3:L218)))</f>
        <v>22890384</v>
      </c>
      <c r="W20" s="2" t="s">
        <v>527</v>
      </c>
      <c r="X20" s="17">
        <f>計算用1!E377</f>
        <v>9.7762290757201686</v>
      </c>
      <c r="AC20" s="2" t="s">
        <v>474</v>
      </c>
      <c r="AD20" s="77">
        <f t="shared" si="6"/>
        <v>0.64444444444444415</v>
      </c>
      <c r="AF20" s="2" t="s">
        <v>474</v>
      </c>
      <c r="AG20" s="23">
        <f>H364</f>
        <v>2564.8888888888878</v>
      </c>
      <c r="AH20" s="23">
        <f>IF(真実の家賃!$I$16="",AG20*0.05,真実の家賃!$I$16*0.05)</f>
        <v>128.24444444444438</v>
      </c>
      <c r="AI20" s="23"/>
    </row>
    <row r="21" spans="1:35" x14ac:dyDescent="0.45">
      <c r="A21" s="3"/>
      <c r="B21" s="3"/>
      <c r="C21" s="3"/>
      <c r="D21" s="3"/>
      <c r="E21" s="3"/>
      <c r="F21" s="3"/>
      <c r="J21">
        <v>19</v>
      </c>
      <c r="K21" s="24" t="s">
        <v>62</v>
      </c>
      <c r="L21" s="23">
        <f t="shared" si="2"/>
        <v>105974</v>
      </c>
      <c r="M21" s="23">
        <f t="shared" si="0"/>
        <v>85243</v>
      </c>
      <c r="N21" s="23">
        <f t="shared" si="4"/>
        <v>20731</v>
      </c>
      <c r="O21" s="23">
        <f t="shared" si="3"/>
        <v>38188246</v>
      </c>
      <c r="P21" s="23"/>
      <c r="Q21" s="2" t="s">
        <v>475</v>
      </c>
      <c r="R21" s="13">
        <f>IF(O230&lt;=0,0,O230)</f>
        <v>19320039</v>
      </c>
      <c r="S21" s="16">
        <f t="shared" si="8"/>
        <v>182437.927</v>
      </c>
      <c r="T21" s="16">
        <f t="shared" si="7"/>
        <v>2957412.7519999999</v>
      </c>
      <c r="U21" s="16">
        <f>IF(O3&lt;=0,0,(SUM(L3:L230)))</f>
        <v>24162072</v>
      </c>
      <c r="W21" s="2" t="s">
        <v>528</v>
      </c>
      <c r="X21" s="17">
        <f>計算用1!E398</f>
        <v>9.6238588807017624</v>
      </c>
      <c r="AC21" s="2" t="s">
        <v>475</v>
      </c>
      <c r="AD21" s="77">
        <f t="shared" si="6"/>
        <v>0.62999999999999967</v>
      </c>
      <c r="AF21" s="2" t="s">
        <v>475</v>
      </c>
      <c r="AG21" s="23">
        <f>H385</f>
        <v>2507.3999999999987</v>
      </c>
      <c r="AH21" s="23">
        <f>IF(真実の家賃!$I$16="",AG21*0.05,真実の家賃!$I$16*0.05)</f>
        <v>125.36999999999995</v>
      </c>
      <c r="AI21" s="23"/>
    </row>
    <row r="22" spans="1:35" ht="18.600000000000001" thickBot="1" x14ac:dyDescent="0.5">
      <c r="A22" s="3"/>
      <c r="B22" s="3"/>
      <c r="D22" s="3"/>
      <c r="E22" s="3"/>
      <c r="F22" s="3"/>
      <c r="J22">
        <v>20</v>
      </c>
      <c r="K22" s="24" t="s">
        <v>63</v>
      </c>
      <c r="L22" s="23">
        <f t="shared" si="2"/>
        <v>105974</v>
      </c>
      <c r="M22" s="23">
        <f t="shared" si="0"/>
        <v>85289</v>
      </c>
      <c r="N22" s="23">
        <f t="shared" si="4"/>
        <v>20685</v>
      </c>
      <c r="O22" s="23">
        <f t="shared" si="3"/>
        <v>38102957</v>
      </c>
      <c r="P22" s="23"/>
      <c r="Q22" s="2" t="s">
        <v>476</v>
      </c>
      <c r="R22" s="13">
        <f>IF(O242&lt;=0,0,O242)</f>
        <v>18170506</v>
      </c>
      <c r="S22" s="16">
        <f t="shared" si="8"/>
        <v>182437.927</v>
      </c>
      <c r="T22" s="16">
        <f t="shared" si="7"/>
        <v>2957412.7519999999</v>
      </c>
      <c r="U22" s="16">
        <f>IF(O3&lt;=0,0,(SUM(L3:L242)))</f>
        <v>25433760</v>
      </c>
      <c r="W22" s="2" t="s">
        <v>529</v>
      </c>
      <c r="X22" s="17">
        <f>計算用1!E419</f>
        <v>9.2560638533333357</v>
      </c>
      <c r="AC22" s="2" t="s">
        <v>476</v>
      </c>
      <c r="AD22" s="77">
        <f>真実の家賃!I10/100</f>
        <v>0.63</v>
      </c>
      <c r="AF22" s="2" t="s">
        <v>476</v>
      </c>
      <c r="AG22" s="23">
        <f>H406</f>
        <v>2507.4</v>
      </c>
      <c r="AH22" s="23">
        <f>IF(真実の家賃!$I$16="",AG22*0.05,真実の家賃!$I$16*0.05)</f>
        <v>125.37</v>
      </c>
      <c r="AI22" s="23"/>
    </row>
    <row r="23" spans="1:35" ht="18.600000000000001" thickBot="1" x14ac:dyDescent="0.5">
      <c r="A23" s="10" t="s">
        <v>4</v>
      </c>
      <c r="B23" s="3"/>
      <c r="C23" s="3"/>
      <c r="D23" s="3"/>
      <c r="E23" s="4" t="s">
        <v>1</v>
      </c>
      <c r="F23" s="4"/>
      <c r="G23" s="38" t="s">
        <v>508</v>
      </c>
      <c r="H23" s="42">
        <f>H2+1</f>
        <v>2</v>
      </c>
      <c r="I23" t="s">
        <v>509</v>
      </c>
      <c r="J23">
        <v>21</v>
      </c>
      <c r="K23" s="24" t="s">
        <v>64</v>
      </c>
      <c r="L23" s="23">
        <f t="shared" si="2"/>
        <v>105974</v>
      </c>
      <c r="M23" s="23">
        <f t="shared" si="0"/>
        <v>85335</v>
      </c>
      <c r="N23" s="23">
        <f t="shared" si="4"/>
        <v>20639</v>
      </c>
      <c r="O23" s="23">
        <f t="shared" si="3"/>
        <v>38017622</v>
      </c>
      <c r="P23" s="23"/>
      <c r="Q23" s="2" t="s">
        <v>477</v>
      </c>
      <c r="R23" s="13">
        <f>IF(O254&lt;=0,0,O254)</f>
        <v>17013478</v>
      </c>
      <c r="S23" s="16">
        <f t="shared" si="8"/>
        <v>182437.927</v>
      </c>
      <c r="T23" s="16">
        <f t="shared" si="7"/>
        <v>2957412.7519999999</v>
      </c>
      <c r="U23" s="16">
        <f>IF(O3&lt;=0,0,(SUM(L3:L254)))</f>
        <v>26705448</v>
      </c>
      <c r="W23" s="2" t="s">
        <v>530</v>
      </c>
      <c r="X23" s="17">
        <f>計算用1!E440</f>
        <v>8.9203227174603175</v>
      </c>
      <c r="AC23" s="2" t="s">
        <v>477</v>
      </c>
      <c r="AD23" s="77">
        <f>AD22-($AD$22-$AD$32)/9</f>
        <v>0.63</v>
      </c>
      <c r="AF23" s="2" t="s">
        <v>477</v>
      </c>
      <c r="AG23" s="23">
        <f>H427</f>
        <v>2507.4</v>
      </c>
      <c r="AH23" s="23">
        <f>IF(真実の家賃!$I$16="",AG23*0.05,真実の家賃!$I$16*0.05)</f>
        <v>125.37</v>
      </c>
      <c r="AI23" s="23"/>
    </row>
    <row r="24" spans="1:35" ht="18.600000000000001" thickBot="1" x14ac:dyDescent="0.5">
      <c r="A24" s="133" t="s">
        <v>5</v>
      </c>
      <c r="B24" s="133"/>
      <c r="C24" s="133"/>
      <c r="D24" s="133"/>
      <c r="E24" s="11" t="s">
        <v>0</v>
      </c>
      <c r="F24" s="3"/>
      <c r="G24" s="36" t="s">
        <v>464</v>
      </c>
      <c r="H24" s="37">
        <f t="shared" ref="H24:H27" si="9">H3</f>
        <v>3980</v>
      </c>
      <c r="I24" t="s">
        <v>465</v>
      </c>
      <c r="J24">
        <v>22</v>
      </c>
      <c r="K24" s="24" t="s">
        <v>65</v>
      </c>
      <c r="L24" s="23">
        <f t="shared" si="2"/>
        <v>105974</v>
      </c>
      <c r="M24" s="23">
        <f t="shared" si="0"/>
        <v>85382</v>
      </c>
      <c r="N24" s="23">
        <f t="shared" si="4"/>
        <v>20592</v>
      </c>
      <c r="O24" s="23">
        <f t="shared" si="3"/>
        <v>37932240</v>
      </c>
      <c r="P24" s="23"/>
      <c r="Q24" s="2" t="s">
        <v>478</v>
      </c>
      <c r="R24" s="13">
        <f>IF(O266&lt;=0,0,O266)</f>
        <v>15848906</v>
      </c>
      <c r="S24" s="16">
        <f t="shared" si="8"/>
        <v>182437.927</v>
      </c>
      <c r="T24" s="16">
        <f t="shared" si="7"/>
        <v>2957412.7519999999</v>
      </c>
      <c r="U24" s="16">
        <f>IF(O3&lt;=0,0,(SUM(L3:L266)))</f>
        <v>27977136</v>
      </c>
      <c r="W24" s="2" t="s">
        <v>531</v>
      </c>
      <c r="X24" s="17">
        <f>計算用1!E461</f>
        <v>8.6122459272727259</v>
      </c>
      <c r="AC24" s="2" t="s">
        <v>478</v>
      </c>
      <c r="AD24" s="77">
        <f t="shared" ref="AD24:AD31" si="10">AD23-($AD$22-$AD$32)/9</f>
        <v>0.63</v>
      </c>
      <c r="AF24" s="2" t="s">
        <v>478</v>
      </c>
      <c r="AG24" s="23">
        <f>H448</f>
        <v>2507.4</v>
      </c>
      <c r="AH24" s="23">
        <f>IF(真実の家賃!$I$16="",AG24*0.05,真実の家賃!$I$16*0.05)</f>
        <v>125.37</v>
      </c>
      <c r="AI24" s="23"/>
    </row>
    <row r="25" spans="1:35" ht="18.600000000000001" thickBot="1" x14ac:dyDescent="0.5">
      <c r="A25" s="85"/>
      <c r="B25" s="87"/>
      <c r="C25" s="127" t="s">
        <v>3</v>
      </c>
      <c r="D25" s="128"/>
      <c r="E25" s="29">
        <f>IF(H27="",0,H27)</f>
        <v>0</v>
      </c>
      <c r="F25" s="3"/>
      <c r="G25" s="25" t="s">
        <v>466</v>
      </c>
      <c r="H25" s="43">
        <f t="shared" si="9"/>
        <v>0.65</v>
      </c>
      <c r="I25" t="s">
        <v>469</v>
      </c>
      <c r="J25">
        <v>23</v>
      </c>
      <c r="K25" s="24" t="s">
        <v>66</v>
      </c>
      <c r="L25" s="23">
        <f t="shared" si="2"/>
        <v>105974</v>
      </c>
      <c r="M25" s="23">
        <f t="shared" si="0"/>
        <v>85428</v>
      </c>
      <c r="N25" s="23">
        <f t="shared" si="4"/>
        <v>20546</v>
      </c>
      <c r="O25" s="23">
        <f t="shared" si="3"/>
        <v>37846812</v>
      </c>
      <c r="P25" s="23"/>
      <c r="Q25" s="2" t="s">
        <v>479</v>
      </c>
      <c r="R25" s="13">
        <f>IF(O278&lt;=0,0,O278)</f>
        <v>14676742</v>
      </c>
      <c r="S25" s="16">
        <f t="shared" si="8"/>
        <v>182437.927</v>
      </c>
      <c r="T25" s="16">
        <f t="shared" si="7"/>
        <v>2957412.7519999999</v>
      </c>
      <c r="U25" s="16">
        <f>IF(O3&lt;=0,0,(SUM(L3:L278)))</f>
        <v>29248824</v>
      </c>
      <c r="W25" s="2" t="s">
        <v>532</v>
      </c>
      <c r="X25" s="17">
        <f>計算用1!E482</f>
        <v>8.3282076985507238</v>
      </c>
      <c r="AC25" s="2" t="s">
        <v>479</v>
      </c>
      <c r="AD25" s="77">
        <f t="shared" si="10"/>
        <v>0.63</v>
      </c>
      <c r="AF25" s="2" t="s">
        <v>479</v>
      </c>
      <c r="AG25" s="23">
        <f>H469</f>
        <v>2507.4</v>
      </c>
      <c r="AH25" s="23">
        <f>IF(真実の家賃!$I$16="",AG25*0.05,真実の家賃!$I$16*0.05)</f>
        <v>125.37</v>
      </c>
      <c r="AI25" s="23"/>
    </row>
    <row r="26" spans="1:35" ht="18.600000000000001" thickBot="1" x14ac:dyDescent="0.5">
      <c r="A26" s="86"/>
      <c r="B26" s="88"/>
      <c r="C26" s="127" t="s">
        <v>6</v>
      </c>
      <c r="D26" s="128"/>
      <c r="E26" s="19">
        <f>IF(H30="",$H$7*0.06,H30)</f>
        <v>238.79999999999998</v>
      </c>
      <c r="F26" s="3"/>
      <c r="G26" s="25" t="s">
        <v>467</v>
      </c>
      <c r="H26" s="37">
        <f t="shared" si="9"/>
        <v>35</v>
      </c>
      <c r="I26" t="s">
        <v>468</v>
      </c>
      <c r="J26">
        <v>24</v>
      </c>
      <c r="K26" s="24" t="s">
        <v>67</v>
      </c>
      <c r="L26" s="23">
        <f t="shared" si="2"/>
        <v>105974</v>
      </c>
      <c r="M26" s="23">
        <f t="shared" si="0"/>
        <v>85474</v>
      </c>
      <c r="N26" s="23">
        <f t="shared" si="4"/>
        <v>20500</v>
      </c>
      <c r="O26" s="23">
        <f t="shared" si="3"/>
        <v>37761338</v>
      </c>
      <c r="P26" s="23"/>
      <c r="Q26" s="2" t="s">
        <v>480</v>
      </c>
      <c r="R26" s="13">
        <f>IF(O290&lt;=0,0,O290)</f>
        <v>13496935</v>
      </c>
      <c r="S26" s="16">
        <f t="shared" si="8"/>
        <v>182437.927</v>
      </c>
      <c r="T26" s="16">
        <f t="shared" si="7"/>
        <v>2957412.7519999999</v>
      </c>
      <c r="U26" s="16">
        <f>IF(O3&lt;=0,0,(SUM(L3:L290)))</f>
        <v>30520512</v>
      </c>
      <c r="W26" s="2" t="s">
        <v>533</v>
      </c>
      <c r="X26" s="17">
        <f>計算用1!E503</f>
        <v>8.0651855027777781</v>
      </c>
      <c r="AC26" s="2" t="s">
        <v>480</v>
      </c>
      <c r="AD26" s="77">
        <f t="shared" si="10"/>
        <v>0.63</v>
      </c>
      <c r="AF26" s="2" t="s">
        <v>480</v>
      </c>
      <c r="AG26" s="23">
        <f>H490</f>
        <v>2507.4</v>
      </c>
      <c r="AH26" s="23">
        <f>IF(真実の家賃!$I$16="",AG26*0.05,真実の家賃!$I$16*0.05)</f>
        <v>125.37</v>
      </c>
      <c r="AI26" s="23"/>
    </row>
    <row r="27" spans="1:35" ht="18.600000000000001" thickBot="1" x14ac:dyDescent="0.5">
      <c r="A27" s="86"/>
      <c r="B27" s="91" t="s">
        <v>7</v>
      </c>
      <c r="C27" s="92"/>
      <c r="D27" s="92"/>
      <c r="E27" s="19">
        <f>SUM(E25:E26)</f>
        <v>238.79999999999998</v>
      </c>
      <c r="F27" s="3"/>
      <c r="G27" s="28" t="s">
        <v>3</v>
      </c>
      <c r="H27" s="37">
        <f t="shared" si="9"/>
        <v>0</v>
      </c>
      <c r="I27" t="s">
        <v>465</v>
      </c>
      <c r="J27">
        <v>25</v>
      </c>
      <c r="K27" s="24" t="s">
        <v>68</v>
      </c>
      <c r="L27" s="23">
        <f t="shared" si="2"/>
        <v>105974</v>
      </c>
      <c r="M27" s="23">
        <f t="shared" si="0"/>
        <v>85520</v>
      </c>
      <c r="N27" s="23">
        <f t="shared" si="4"/>
        <v>20454</v>
      </c>
      <c r="O27" s="23">
        <f t="shared" si="3"/>
        <v>37675818</v>
      </c>
      <c r="P27" s="23"/>
      <c r="Q27" s="2" t="s">
        <v>481</v>
      </c>
      <c r="R27" s="13">
        <f>IF(O302&lt;=0,0,O302)</f>
        <v>12309437</v>
      </c>
      <c r="S27" s="16">
        <f t="shared" si="8"/>
        <v>182437.927</v>
      </c>
      <c r="T27" s="16">
        <f t="shared" si="7"/>
        <v>2957412.7519999999</v>
      </c>
      <c r="U27" s="16">
        <f>IF(O3&lt;=0,0,(SUM(L3:L302)))</f>
        <v>31792200</v>
      </c>
      <c r="W27" s="2" t="s">
        <v>534</v>
      </c>
      <c r="X27" s="17">
        <f>計算用1!E524</f>
        <v>7.820641416</v>
      </c>
      <c r="AC27" s="2" t="s">
        <v>481</v>
      </c>
      <c r="AD27" s="77">
        <f t="shared" si="10"/>
        <v>0.63</v>
      </c>
      <c r="AF27" s="2" t="s">
        <v>481</v>
      </c>
      <c r="AG27" s="23">
        <f>H511</f>
        <v>2507.4</v>
      </c>
      <c r="AH27" s="23">
        <f>IF(真実の家賃!$I$16="",AG27*0.05,真実の家賃!$I$16*0.05)</f>
        <v>125.37</v>
      </c>
      <c r="AI27" s="23"/>
    </row>
    <row r="28" spans="1:35" ht="18.600000000000001" thickBot="1" x14ac:dyDescent="0.5">
      <c r="A28" s="86"/>
      <c r="B28" s="7"/>
      <c r="C28" s="5" t="s">
        <v>8</v>
      </c>
      <c r="D28" s="5"/>
      <c r="E28" s="49">
        <f>_xlfn.SWITCH(H23,1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254.33760000000001</v>
      </c>
      <c r="F28" s="3"/>
      <c r="G28" s="28" t="s">
        <v>16</v>
      </c>
      <c r="H28" s="37">
        <f>真実の家賃!$I$8*AD4</f>
        <v>3873.8666666666668</v>
      </c>
      <c r="I28" t="s">
        <v>465</v>
      </c>
      <c r="J28">
        <v>26</v>
      </c>
      <c r="K28" s="24" t="s">
        <v>69</v>
      </c>
      <c r="L28" s="23">
        <f t="shared" si="2"/>
        <v>105974</v>
      </c>
      <c r="M28" s="23">
        <f t="shared" si="0"/>
        <v>85567</v>
      </c>
      <c r="N28" s="23">
        <f t="shared" si="4"/>
        <v>20407</v>
      </c>
      <c r="O28" s="23">
        <f t="shared" si="3"/>
        <v>37590251</v>
      </c>
      <c r="P28" s="23"/>
      <c r="Q28" s="2" t="s">
        <v>482</v>
      </c>
      <c r="R28" s="13">
        <f>IF(O314&lt;=0,0,O314)</f>
        <v>11114198</v>
      </c>
      <c r="S28" s="16">
        <f t="shared" si="8"/>
        <v>182437.927</v>
      </c>
      <c r="T28" s="16">
        <f t="shared" si="7"/>
        <v>2957412.7519999999</v>
      </c>
      <c r="U28" s="16">
        <f>IF(O3&lt;=0,0,(SUM(L3:L314)))</f>
        <v>33063888</v>
      </c>
      <c r="W28" s="2" t="s">
        <v>535</v>
      </c>
      <c r="X28" s="17">
        <f>計算用1!E545</f>
        <v>7.5924273230769241</v>
      </c>
      <c r="AC28" s="2" t="s">
        <v>482</v>
      </c>
      <c r="AD28" s="77">
        <f t="shared" si="10"/>
        <v>0.63</v>
      </c>
      <c r="AF28" s="2" t="s">
        <v>482</v>
      </c>
      <c r="AG28" s="23">
        <f>H532</f>
        <v>2507.4</v>
      </c>
      <c r="AH28" s="23">
        <f>IF(真実の家賃!$I$16="",AG28*0.05,真実の家賃!$I$16*0.05)</f>
        <v>125.37</v>
      </c>
      <c r="AI28" s="23"/>
    </row>
    <row r="29" spans="1:35" ht="18.600000000000001" thickBot="1" x14ac:dyDescent="0.5">
      <c r="A29" s="86"/>
      <c r="B29" s="8"/>
      <c r="C29" s="127" t="s">
        <v>2</v>
      </c>
      <c r="D29" s="128"/>
      <c r="E29" s="19">
        <f>IF(H31="",H23*15,H31)</f>
        <v>30</v>
      </c>
      <c r="F29" s="3"/>
      <c r="G29" s="56" t="s">
        <v>573</v>
      </c>
      <c r="H29" s="40" t="str">
        <f>H8</f>
        <v/>
      </c>
      <c r="I29" t="s">
        <v>465</v>
      </c>
      <c r="J29">
        <v>27</v>
      </c>
      <c r="K29" s="24" t="s">
        <v>70</v>
      </c>
      <c r="L29" s="23">
        <f t="shared" si="2"/>
        <v>105974</v>
      </c>
      <c r="M29" s="23">
        <f t="shared" si="0"/>
        <v>85613</v>
      </c>
      <c r="N29" s="23">
        <f t="shared" si="4"/>
        <v>20361</v>
      </c>
      <c r="O29" s="23">
        <f t="shared" si="3"/>
        <v>37504638</v>
      </c>
      <c r="P29" s="23"/>
      <c r="Q29" s="2" t="s">
        <v>483</v>
      </c>
      <c r="R29" s="13">
        <f>IF(O326&lt;=0,0,O326)</f>
        <v>9911167</v>
      </c>
      <c r="S29" s="16">
        <f t="shared" si="8"/>
        <v>182437.927</v>
      </c>
      <c r="T29" s="16">
        <f t="shared" si="7"/>
        <v>2957412.7519999999</v>
      </c>
      <c r="U29" s="16">
        <f>IF(O3&lt;=0,0,(SUM(L3:L326)))</f>
        <v>34335576</v>
      </c>
      <c r="W29" s="2" t="s">
        <v>536</v>
      </c>
      <c r="X29" s="17">
        <f>計算用1!E566</f>
        <v>7.3787130395061746</v>
      </c>
      <c r="AC29" s="2" t="s">
        <v>483</v>
      </c>
      <c r="AD29" s="77">
        <f t="shared" si="10"/>
        <v>0.63</v>
      </c>
      <c r="AF29" s="2" t="s">
        <v>483</v>
      </c>
      <c r="AG29" s="23">
        <f>H553</f>
        <v>2507.4</v>
      </c>
      <c r="AH29" s="23">
        <f>IF(真実の家賃!$I$16="",AG29*0.05,真実の家賃!$I$16*0.05)</f>
        <v>125.37</v>
      </c>
      <c r="AI29" s="23"/>
    </row>
    <row r="30" spans="1:35" ht="18.600000000000001" thickBot="1" x14ac:dyDescent="0.5">
      <c r="A30" s="86"/>
      <c r="B30" s="8"/>
      <c r="C30" s="129" t="s">
        <v>9</v>
      </c>
      <c r="D30" s="129"/>
      <c r="E30" s="19">
        <f>_xlfn.SWITCH(H23,1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-53.5817233</v>
      </c>
      <c r="F30" s="3"/>
      <c r="G30" s="34" t="s">
        <v>6</v>
      </c>
      <c r="H30" s="40" t="str">
        <f>H9</f>
        <v/>
      </c>
      <c r="I30" t="s">
        <v>465</v>
      </c>
      <c r="J30">
        <v>28</v>
      </c>
      <c r="K30" s="24" t="s">
        <v>71</v>
      </c>
      <c r="L30" s="23">
        <f t="shared" si="2"/>
        <v>105974</v>
      </c>
      <c r="M30" s="23">
        <f t="shared" si="0"/>
        <v>85659</v>
      </c>
      <c r="N30" s="23">
        <f t="shared" si="4"/>
        <v>20315</v>
      </c>
      <c r="O30" s="23">
        <f t="shared" si="3"/>
        <v>37418979</v>
      </c>
      <c r="P30" s="23"/>
      <c r="Q30" s="2" t="s">
        <v>484</v>
      </c>
      <c r="R30" s="13">
        <f>IF(O338&lt;=0,0,O338)</f>
        <v>8700293</v>
      </c>
      <c r="S30" s="16">
        <f t="shared" si="8"/>
        <v>182437.927</v>
      </c>
      <c r="T30" s="16">
        <f t="shared" si="7"/>
        <v>2957412.7519999999</v>
      </c>
      <c r="U30" s="16">
        <f>IF(O3&lt;=0,0,(SUM(L3:L338)))</f>
        <v>35607264</v>
      </c>
      <c r="W30" s="2" t="s">
        <v>537</v>
      </c>
      <c r="X30" s="17">
        <f>計算用1!E587</f>
        <v>7.1779298357142851</v>
      </c>
      <c r="AC30" s="2" t="s">
        <v>484</v>
      </c>
      <c r="AD30" s="77">
        <f t="shared" si="10"/>
        <v>0.63</v>
      </c>
      <c r="AF30" s="2" t="s">
        <v>484</v>
      </c>
      <c r="AG30" s="23">
        <f>H574</f>
        <v>2507.4</v>
      </c>
      <c r="AH30" s="23">
        <f>IF(真実の家賃!$I$16="",AG30*0.05,真実の家賃!$I$16*0.05)</f>
        <v>125.37</v>
      </c>
      <c r="AI30" s="23"/>
    </row>
    <row r="31" spans="1:35" ht="18.600000000000001" thickBot="1" x14ac:dyDescent="0.5">
      <c r="A31" s="86"/>
      <c r="B31" s="8"/>
      <c r="C31" s="130" t="s">
        <v>10</v>
      </c>
      <c r="D31" s="131"/>
      <c r="E31" s="19">
        <f>IF(H29="",$AA$3,H23*H29)</f>
        <v>0</v>
      </c>
      <c r="F31" s="3"/>
      <c r="G31" s="28" t="s">
        <v>560</v>
      </c>
      <c r="H31" s="40" t="str">
        <f>H10</f>
        <v/>
      </c>
      <c r="I31" t="s">
        <v>465</v>
      </c>
      <c r="J31">
        <v>29</v>
      </c>
      <c r="K31" s="24" t="s">
        <v>72</v>
      </c>
      <c r="L31" s="23">
        <f t="shared" si="2"/>
        <v>105974</v>
      </c>
      <c r="M31" s="23">
        <f t="shared" si="0"/>
        <v>85706</v>
      </c>
      <c r="N31" s="23">
        <f t="shared" si="4"/>
        <v>20268</v>
      </c>
      <c r="O31" s="23">
        <f t="shared" si="3"/>
        <v>37333273</v>
      </c>
      <c r="P31" s="23"/>
      <c r="Q31" s="2" t="s">
        <v>485</v>
      </c>
      <c r="R31" s="13">
        <f>IF(O350&lt;=0,0,O350)</f>
        <v>7481525</v>
      </c>
      <c r="S31" s="16">
        <f t="shared" si="8"/>
        <v>182437.927</v>
      </c>
      <c r="T31" s="16">
        <f t="shared" si="7"/>
        <v>2957412.7519999999</v>
      </c>
      <c r="U31" s="16">
        <f>IF(O3&lt;=0,0,(SUM(L3:L350)))</f>
        <v>36878952</v>
      </c>
      <c r="W31" s="2" t="s">
        <v>538</v>
      </c>
      <c r="X31" s="17">
        <f>計算用1!E608</f>
        <v>6.9887253586206901</v>
      </c>
      <c r="AC31" s="2" t="s">
        <v>485</v>
      </c>
      <c r="AD31" s="77">
        <f t="shared" si="10"/>
        <v>0.63</v>
      </c>
      <c r="AF31" s="2" t="s">
        <v>485</v>
      </c>
      <c r="AG31" s="23">
        <f>H595</f>
        <v>2507.4</v>
      </c>
      <c r="AH31" s="23">
        <f>IF(真実の家賃!$I$16="",AG31*0.05,真実の家賃!$I$16*0.05)</f>
        <v>125.37</v>
      </c>
      <c r="AI31" s="23"/>
    </row>
    <row r="32" spans="1:35" ht="18.600000000000001" thickBot="1" x14ac:dyDescent="0.5">
      <c r="A32" s="86"/>
      <c r="B32" s="132" t="s">
        <v>11</v>
      </c>
      <c r="C32" s="126"/>
      <c r="D32" s="126"/>
      <c r="E32" s="19">
        <f>SUM(E28:E31)</f>
        <v>230.75587670000002</v>
      </c>
      <c r="F32" s="3"/>
      <c r="G32" s="33" t="s">
        <v>561</v>
      </c>
      <c r="H32" s="41" t="str">
        <f>H11</f>
        <v/>
      </c>
      <c r="I32" t="s">
        <v>465</v>
      </c>
      <c r="J32">
        <v>30</v>
      </c>
      <c r="K32" s="24" t="s">
        <v>73</v>
      </c>
      <c r="L32" s="23">
        <f t="shared" si="2"/>
        <v>105974</v>
      </c>
      <c r="M32" s="23">
        <f t="shared" si="0"/>
        <v>85752</v>
      </c>
      <c r="N32" s="23">
        <f t="shared" si="4"/>
        <v>20222</v>
      </c>
      <c r="O32" s="23">
        <f t="shared" si="3"/>
        <v>37247521</v>
      </c>
      <c r="P32" s="23"/>
      <c r="Q32" s="2" t="s">
        <v>486</v>
      </c>
      <c r="R32" s="13">
        <f>IF(O362&lt;=0,0,O362)</f>
        <v>6254811</v>
      </c>
      <c r="S32" s="16">
        <f t="shared" si="8"/>
        <v>182437.927</v>
      </c>
      <c r="T32" s="16">
        <f t="shared" si="7"/>
        <v>2957412.7519999999</v>
      </c>
      <c r="U32" s="16">
        <f>IF(O3&lt;=0,0,(SUM(L3:L362)))</f>
        <v>38150640</v>
      </c>
      <c r="W32" s="2" t="s">
        <v>539</v>
      </c>
      <c r="X32" s="17">
        <f>計算用1!E629</f>
        <v>6.8099272911111122</v>
      </c>
      <c r="AC32" s="2" t="s">
        <v>486</v>
      </c>
      <c r="AD32" s="77">
        <f>真実の家賃!I11/100</f>
        <v>0.63</v>
      </c>
      <c r="AF32" s="2" t="s">
        <v>486</v>
      </c>
      <c r="AG32" s="23">
        <f>H616</f>
        <v>2507.4</v>
      </c>
      <c r="AH32" s="23">
        <f>IF(真実の家賃!$I$16="",AG32*0.05,真実の家賃!$I$16*0.05)</f>
        <v>125.37</v>
      </c>
      <c r="AI32" s="23"/>
    </row>
    <row r="33" spans="1:35" ht="18.600000000000001" thickBot="1" x14ac:dyDescent="0.5">
      <c r="A33" s="86"/>
      <c r="B33" s="7"/>
      <c r="C33" s="127" t="s">
        <v>12</v>
      </c>
      <c r="D33" s="128"/>
      <c r="E33" s="19">
        <f>_xlfn.SWITCH(H23,1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3776.1338000000001</v>
      </c>
      <c r="F33" s="3"/>
      <c r="G33" s="32"/>
      <c r="J33">
        <v>31</v>
      </c>
      <c r="K33" s="24" t="s">
        <v>74</v>
      </c>
      <c r="L33" s="23">
        <f t="shared" si="2"/>
        <v>105974</v>
      </c>
      <c r="M33" s="23">
        <f t="shared" si="0"/>
        <v>85799</v>
      </c>
      <c r="N33" s="23">
        <f t="shared" si="4"/>
        <v>20175</v>
      </c>
      <c r="O33" s="23">
        <f t="shared" si="3"/>
        <v>37161722</v>
      </c>
      <c r="P33" s="23"/>
      <c r="Q33" s="2" t="s">
        <v>487</v>
      </c>
      <c r="R33" s="13">
        <f>IF(O374&lt;=0,0,O374)</f>
        <v>5020099</v>
      </c>
      <c r="S33" s="16">
        <f t="shared" si="8"/>
        <v>182437.927</v>
      </c>
      <c r="T33" s="16">
        <f t="shared" si="7"/>
        <v>2957412.7519999999</v>
      </c>
      <c r="U33" s="16">
        <f>IF(O3&lt;=0,0,(SUM(L3:L374)))</f>
        <v>39422328</v>
      </c>
      <c r="W33" s="2" t="s">
        <v>540</v>
      </c>
      <c r="X33" s="17">
        <f>計算用1!E650</f>
        <v>6.6405145827956984</v>
      </c>
      <c r="AC33" s="2" t="s">
        <v>487</v>
      </c>
      <c r="AD33" s="77">
        <f>$AD$32</f>
        <v>0.63</v>
      </c>
      <c r="AF33" s="2" t="s">
        <v>487</v>
      </c>
      <c r="AG33" s="23">
        <f>H637</f>
        <v>2507.4</v>
      </c>
      <c r="AH33" s="23">
        <f>IF(真実の家賃!$I$16="",AG33*0.05,真実の家賃!$I$16*0.05)</f>
        <v>125.37</v>
      </c>
      <c r="AI33" s="23"/>
    </row>
    <row r="34" spans="1:35" ht="18.600000000000001" thickBot="1" x14ac:dyDescent="0.5">
      <c r="A34" s="86"/>
      <c r="B34" s="8"/>
      <c r="C34" s="127" t="s">
        <v>13</v>
      </c>
      <c r="D34" s="128"/>
      <c r="E34" s="19">
        <f>IF(H32="",H28*0.05,H32)</f>
        <v>193.69333333333336</v>
      </c>
      <c r="F34" s="3"/>
      <c r="G34" s="30"/>
      <c r="J34">
        <v>32</v>
      </c>
      <c r="K34" s="24" t="s">
        <v>75</v>
      </c>
      <c r="L34" s="23">
        <f t="shared" si="2"/>
        <v>105974</v>
      </c>
      <c r="M34" s="23">
        <f t="shared" si="0"/>
        <v>85845</v>
      </c>
      <c r="N34" s="23">
        <f t="shared" si="4"/>
        <v>20129</v>
      </c>
      <c r="O34" s="23">
        <f t="shared" si="3"/>
        <v>37075877</v>
      </c>
      <c r="P34" s="23"/>
      <c r="Q34" s="2" t="s">
        <v>488</v>
      </c>
      <c r="R34" s="13">
        <f>IF(O386&lt;=0,0,O386)</f>
        <v>3777339</v>
      </c>
      <c r="S34" s="16">
        <f t="shared" si="8"/>
        <v>182437.927</v>
      </c>
      <c r="T34" s="16">
        <f t="shared" si="7"/>
        <v>2957412.7519999999</v>
      </c>
      <c r="U34" s="16">
        <f>IF(O3&lt;=0,0,(SUM(L3:L386)))</f>
        <v>40694016</v>
      </c>
      <c r="W34" s="2" t="s">
        <v>541</v>
      </c>
      <c r="X34" s="17">
        <f>計算用1!E671</f>
        <v>6.4795943354166674</v>
      </c>
      <c r="AC34" s="2" t="s">
        <v>488</v>
      </c>
      <c r="AD34" s="77">
        <f t="shared" ref="AD34:AD52" si="11">$AD$32</f>
        <v>0.63</v>
      </c>
      <c r="AF34" s="2" t="s">
        <v>488</v>
      </c>
      <c r="AG34" s="23">
        <f>H658</f>
        <v>2507.4</v>
      </c>
      <c r="AH34" s="23">
        <f>IF(真実の家賃!$I$16="",AG34*0.05,真実の家賃!$I$16*0.05)</f>
        <v>125.37</v>
      </c>
      <c r="AI34" s="23"/>
    </row>
    <row r="35" spans="1:35" ht="18.600000000000001" thickBot="1" x14ac:dyDescent="0.5">
      <c r="A35" s="86"/>
      <c r="B35" s="132" t="s">
        <v>14</v>
      </c>
      <c r="C35" s="126"/>
      <c r="D35" s="126"/>
      <c r="E35" s="19">
        <f>SUM(E33:E34)</f>
        <v>3969.8271333333332</v>
      </c>
      <c r="F35" s="3"/>
      <c r="G35" s="30"/>
      <c r="J35">
        <v>33</v>
      </c>
      <c r="K35" s="24" t="s">
        <v>76</v>
      </c>
      <c r="L35" s="23">
        <f t="shared" si="2"/>
        <v>105974</v>
      </c>
      <c r="M35" s="23">
        <f t="shared" si="0"/>
        <v>85892</v>
      </c>
      <c r="N35" s="23">
        <f t="shared" si="4"/>
        <v>20082</v>
      </c>
      <c r="O35" s="23">
        <f t="shared" si="3"/>
        <v>36989985</v>
      </c>
      <c r="P35" s="23"/>
      <c r="Q35" s="2" t="s">
        <v>489</v>
      </c>
      <c r="R35" s="13">
        <f>IF(O398&lt;=0,0,O398)</f>
        <v>2526476</v>
      </c>
      <c r="S35" s="16">
        <f t="shared" si="8"/>
        <v>182437.927</v>
      </c>
      <c r="T35" s="16">
        <f t="shared" si="7"/>
        <v>2957412.7519999999</v>
      </c>
      <c r="U35" s="16">
        <f>IF(O3&lt;=0,0,(SUM(L3:L398)))</f>
        <v>41965704</v>
      </c>
      <c r="W35" s="2" t="s">
        <v>542</v>
      </c>
      <c r="X35" s="17">
        <f>計算用1!E692</f>
        <v>6.3263806181818181</v>
      </c>
      <c r="AC35" s="2" t="s">
        <v>489</v>
      </c>
      <c r="AD35" s="77">
        <f t="shared" si="11"/>
        <v>0.63</v>
      </c>
      <c r="AF35" s="2" t="s">
        <v>489</v>
      </c>
      <c r="AG35" s="23">
        <f>H679</f>
        <v>2507.4</v>
      </c>
      <c r="AH35" s="23">
        <f>IF(真実の家賃!$I$16="",AG35*0.05,真実の家賃!$I$16*0.05)</f>
        <v>125.37</v>
      </c>
      <c r="AI35" s="23"/>
    </row>
    <row r="36" spans="1:35" ht="18.600000000000001" thickBot="1" x14ac:dyDescent="0.5">
      <c r="A36" s="97" t="s">
        <v>15</v>
      </c>
      <c r="B36" s="98"/>
      <c r="C36" s="98"/>
      <c r="D36" s="99"/>
      <c r="E36" s="20">
        <f>E27+E32+E35</f>
        <v>4439.3830100333334</v>
      </c>
      <c r="F36" s="3"/>
      <c r="G36" s="30"/>
      <c r="J36">
        <v>34</v>
      </c>
      <c r="K36" s="24" t="s">
        <v>77</v>
      </c>
      <c r="L36" s="23">
        <f t="shared" si="2"/>
        <v>105974</v>
      </c>
      <c r="M36" s="23">
        <f t="shared" si="0"/>
        <v>85938</v>
      </c>
      <c r="N36" s="23">
        <f t="shared" si="4"/>
        <v>20036</v>
      </c>
      <c r="O36" s="23">
        <f t="shared" si="3"/>
        <v>36904047</v>
      </c>
      <c r="P36" s="23"/>
      <c r="Q36" s="2" t="s">
        <v>490</v>
      </c>
      <c r="R36" s="13">
        <f>IF(O410&lt;=0,0,O410)</f>
        <v>1267458</v>
      </c>
      <c r="S36" s="16">
        <f t="shared" si="8"/>
        <v>182437.927</v>
      </c>
      <c r="T36" s="16">
        <f t="shared" si="7"/>
        <v>2957412.7519999999</v>
      </c>
      <c r="U36" s="16">
        <f>IF(O3&lt;=0,0,(SUM(L3:L410)))</f>
        <v>43237392</v>
      </c>
      <c r="W36" s="2" t="s">
        <v>543</v>
      </c>
      <c r="X36" s="17">
        <f>計算用1!E713</f>
        <v>6.1801806980392149</v>
      </c>
      <c r="AC36" s="2" t="s">
        <v>490</v>
      </c>
      <c r="AD36" s="77">
        <f t="shared" si="11"/>
        <v>0.63</v>
      </c>
      <c r="AF36" s="2" t="s">
        <v>490</v>
      </c>
      <c r="AG36" s="23">
        <f>H700</f>
        <v>2507.4</v>
      </c>
      <c r="AH36" s="23">
        <f>IF(真実の家賃!$I$16="",AG36*0.05,真実の家賃!$I$16*0.05)</f>
        <v>125.37</v>
      </c>
      <c r="AI36" s="23"/>
    </row>
    <row r="37" spans="1:35" ht="18.600000000000001" thickBot="1" x14ac:dyDescent="0.5">
      <c r="A37" s="6"/>
      <c r="B37" s="126" t="s">
        <v>16</v>
      </c>
      <c r="C37" s="126"/>
      <c r="D37" s="126"/>
      <c r="E37" s="19">
        <f>H28</f>
        <v>3873.8666666666668</v>
      </c>
      <c r="F37" s="3"/>
      <c r="J37">
        <v>35</v>
      </c>
      <c r="K37" s="24" t="s">
        <v>78</v>
      </c>
      <c r="L37" s="23">
        <f t="shared" si="2"/>
        <v>105974</v>
      </c>
      <c r="M37" s="23">
        <f t="shared" si="0"/>
        <v>85985</v>
      </c>
      <c r="N37" s="23">
        <f t="shared" si="4"/>
        <v>19989</v>
      </c>
      <c r="O37" s="23">
        <f t="shared" si="3"/>
        <v>36818062</v>
      </c>
      <c r="P37" s="23"/>
      <c r="Q37" s="2" t="s">
        <v>491</v>
      </c>
      <c r="R37" s="13">
        <f>IF(O422&lt;=0,0,O422)</f>
        <v>232</v>
      </c>
      <c r="S37" s="16">
        <f t="shared" si="8"/>
        <v>182437.927</v>
      </c>
      <c r="T37" s="16">
        <f t="shared" si="7"/>
        <v>2957412.7519999999</v>
      </c>
      <c r="U37" s="16">
        <f>IF(O3&lt;=0,0,(SUM(L3:L422)))</f>
        <v>44509080</v>
      </c>
      <c r="W37" s="2" t="s">
        <v>544</v>
      </c>
      <c r="X37" s="17">
        <f>計算用1!E734</f>
        <v>6.040380773333335</v>
      </c>
      <c r="AC37" s="2" t="s">
        <v>491</v>
      </c>
      <c r="AD37" s="77">
        <f t="shared" si="11"/>
        <v>0.63</v>
      </c>
      <c r="AF37" s="2" t="s">
        <v>491</v>
      </c>
      <c r="AG37" s="23">
        <f>H721</f>
        <v>2507.4</v>
      </c>
      <c r="AH37" s="23">
        <f>IF(真実の家賃!$I$16="",AG37*0.05,真実の家賃!$I$16*0.05)</f>
        <v>125.37</v>
      </c>
      <c r="AI37" s="23"/>
    </row>
    <row r="38" spans="1:35" ht="18.600000000000001" thickBot="1" x14ac:dyDescent="0.5">
      <c r="A38" s="97" t="s">
        <v>17</v>
      </c>
      <c r="B38" s="98"/>
      <c r="C38" s="98"/>
      <c r="D38" s="99"/>
      <c r="E38" s="20">
        <f>E37</f>
        <v>3873.8666666666668</v>
      </c>
      <c r="F38" s="3"/>
      <c r="J38">
        <v>36</v>
      </c>
      <c r="K38" s="24" t="s">
        <v>79</v>
      </c>
      <c r="L38" s="23">
        <f t="shared" si="2"/>
        <v>105974</v>
      </c>
      <c r="M38" s="23">
        <f t="shared" si="0"/>
        <v>86031</v>
      </c>
      <c r="N38" s="23">
        <f t="shared" si="4"/>
        <v>19943</v>
      </c>
      <c r="O38" s="23">
        <f t="shared" si="3"/>
        <v>36732031</v>
      </c>
      <c r="P38" s="23"/>
      <c r="Q38" s="2" t="s">
        <v>493</v>
      </c>
      <c r="R38">
        <f>IF(O434&lt;=0,0,O434)</f>
        <v>0</v>
      </c>
      <c r="S38" s="16">
        <f t="shared" si="8"/>
        <v>182437.927</v>
      </c>
      <c r="T38" s="16">
        <f t="shared" si="7"/>
        <v>2957412.7519999999</v>
      </c>
      <c r="U38" s="16">
        <f>U37</f>
        <v>44509080</v>
      </c>
      <c r="W38" s="2" t="s">
        <v>545</v>
      </c>
      <c r="X38" s="17">
        <f>計算用1!E755</f>
        <v>5.9072609370370381</v>
      </c>
      <c r="AC38" s="2" t="s">
        <v>493</v>
      </c>
      <c r="AD38" s="77">
        <f t="shared" si="11"/>
        <v>0.63</v>
      </c>
      <c r="AF38" s="2" t="s">
        <v>493</v>
      </c>
      <c r="AG38" s="23">
        <f>H742</f>
        <v>2507.4</v>
      </c>
      <c r="AH38" s="23">
        <f>IF(真実の家賃!$I$16="",AG38*0.05,真実の家賃!$I$16*0.05)</f>
        <v>125.37</v>
      </c>
      <c r="AI38" s="23"/>
    </row>
    <row r="39" spans="1:35" ht="18.600000000000001" thickBot="1" x14ac:dyDescent="0.5">
      <c r="A39" s="96" t="s">
        <v>18</v>
      </c>
      <c r="B39" s="96"/>
      <c r="C39" s="96"/>
      <c r="D39" s="96"/>
      <c r="E39" s="14">
        <f>12*H23</f>
        <v>24</v>
      </c>
      <c r="F39" s="3"/>
      <c r="J39">
        <v>37</v>
      </c>
      <c r="K39" s="24" t="s">
        <v>80</v>
      </c>
      <c r="L39" s="23">
        <f t="shared" si="2"/>
        <v>105974</v>
      </c>
      <c r="M39" s="23">
        <f t="shared" si="0"/>
        <v>86078</v>
      </c>
      <c r="N39" s="23">
        <f t="shared" si="4"/>
        <v>19896</v>
      </c>
      <c r="O39" s="23">
        <f t="shared" si="3"/>
        <v>36645953</v>
      </c>
      <c r="Q39" s="2" t="s">
        <v>494</v>
      </c>
      <c r="R39">
        <f>IF(O446&lt;=0,0,O446)</f>
        <v>0</v>
      </c>
      <c r="S39" s="16">
        <f t="shared" si="8"/>
        <v>182437.927</v>
      </c>
      <c r="T39" s="16">
        <f t="shared" si="7"/>
        <v>2957412.7519999999</v>
      </c>
      <c r="U39" s="16">
        <f>U38</f>
        <v>44509080</v>
      </c>
      <c r="W39" s="2" t="s">
        <v>546</v>
      </c>
      <c r="X39" s="17">
        <f>計算用1!E776</f>
        <v>5.7813890198198203</v>
      </c>
      <c r="AC39" s="2" t="s">
        <v>494</v>
      </c>
      <c r="AD39" s="77">
        <f t="shared" si="11"/>
        <v>0.63</v>
      </c>
      <c r="AF39" s="2" t="s">
        <v>494</v>
      </c>
      <c r="AG39" s="23">
        <f>H763</f>
        <v>2507.4</v>
      </c>
      <c r="AH39" s="23">
        <f>IF(真実の家賃!$I$16="",AG39*0.05,真実の家賃!$I$16*0.05)</f>
        <v>125.37</v>
      </c>
      <c r="AI39" s="23"/>
    </row>
    <row r="40" spans="1:35" ht="18.600000000000001" thickBot="1" x14ac:dyDescent="0.5">
      <c r="A40" s="3"/>
      <c r="B40" s="3"/>
      <c r="C40" s="3"/>
      <c r="D40" s="3"/>
      <c r="E40" s="3"/>
      <c r="F40" s="3"/>
      <c r="J40">
        <v>38</v>
      </c>
      <c r="K40" s="24" t="s">
        <v>81</v>
      </c>
      <c r="L40" s="23">
        <f t="shared" si="2"/>
        <v>105974</v>
      </c>
      <c r="M40" s="23">
        <f t="shared" si="0"/>
        <v>86125</v>
      </c>
      <c r="N40" s="23">
        <f t="shared" si="4"/>
        <v>19849</v>
      </c>
      <c r="O40" s="23">
        <f t="shared" si="3"/>
        <v>36559828</v>
      </c>
      <c r="Q40" s="2" t="s">
        <v>495</v>
      </c>
      <c r="R40">
        <f>IF(O458&lt;=0,0,O458)</f>
        <v>0</v>
      </c>
      <c r="S40" s="16">
        <f t="shared" si="8"/>
        <v>182437.927</v>
      </c>
      <c r="T40" s="16">
        <f t="shared" si="7"/>
        <v>2957412.7519999999</v>
      </c>
      <c r="U40" s="16">
        <f t="shared" ref="U40:U52" si="12">U39</f>
        <v>44509080</v>
      </c>
      <c r="W40" s="2" t="s">
        <v>547</v>
      </c>
      <c r="X40" s="17">
        <f>計算用1!E797</f>
        <v>5.6621419403508781</v>
      </c>
      <c r="AC40" s="2" t="s">
        <v>495</v>
      </c>
      <c r="AD40" s="77">
        <f t="shared" si="11"/>
        <v>0.63</v>
      </c>
      <c r="AF40" s="2" t="s">
        <v>495</v>
      </c>
      <c r="AG40" s="23">
        <f>H784</f>
        <v>2507.4</v>
      </c>
      <c r="AH40" s="23">
        <f>IF(真実の家賃!$I$16="",AG40*0.05,真実の家賃!$I$16*0.05)</f>
        <v>125.37</v>
      </c>
      <c r="AI40" s="23"/>
    </row>
    <row r="41" spans="1:35" ht="18.600000000000001" thickBot="1" x14ac:dyDescent="0.5">
      <c r="A41" s="12" t="s">
        <v>19</v>
      </c>
      <c r="B41" s="12"/>
      <c r="C41" s="12"/>
      <c r="D41" s="12"/>
      <c r="E41" s="15">
        <f>-((E38-E36)/E39)</f>
        <v>23.563180973611111</v>
      </c>
      <c r="F41" s="3" t="s">
        <v>20</v>
      </c>
      <c r="J41">
        <v>39</v>
      </c>
      <c r="K41" s="24" t="s">
        <v>82</v>
      </c>
      <c r="L41" s="23">
        <f t="shared" si="2"/>
        <v>105974</v>
      </c>
      <c r="M41" s="23">
        <f t="shared" si="0"/>
        <v>86171</v>
      </c>
      <c r="N41" s="23">
        <f t="shared" si="4"/>
        <v>19803</v>
      </c>
      <c r="O41" s="23">
        <f t="shared" si="3"/>
        <v>36473657</v>
      </c>
      <c r="Q41" s="2" t="s">
        <v>496</v>
      </c>
      <c r="R41">
        <f>IF(O470&lt;=0,0,O470)</f>
        <v>0</v>
      </c>
      <c r="S41" s="16">
        <f t="shared" si="8"/>
        <v>182437.927</v>
      </c>
      <c r="T41" s="16">
        <f t="shared" si="7"/>
        <v>2957412.7519999999</v>
      </c>
      <c r="U41" s="16">
        <f t="shared" si="12"/>
        <v>44509080</v>
      </c>
      <c r="W41" s="2" t="s">
        <v>548</v>
      </c>
      <c r="X41" s="17">
        <f>計算用1!E818</f>
        <v>5.5490100957264961</v>
      </c>
      <c r="AC41" s="2" t="s">
        <v>496</v>
      </c>
      <c r="AD41" s="77">
        <f t="shared" si="11"/>
        <v>0.63</v>
      </c>
      <c r="AF41" s="2" t="s">
        <v>496</v>
      </c>
      <c r="AG41" s="23">
        <f>H805</f>
        <v>2507.4</v>
      </c>
      <c r="AH41" s="23">
        <f>IF(真実の家賃!$I$16="",AG41*0.05,真実の家賃!$I$16*0.05)</f>
        <v>125.37</v>
      </c>
      <c r="AI41" s="23"/>
    </row>
    <row r="42" spans="1:35" x14ac:dyDescent="0.45">
      <c r="A42" s="3"/>
      <c r="B42" s="3"/>
      <c r="C42" s="3"/>
      <c r="D42" s="3"/>
      <c r="E42" s="3"/>
      <c r="F42" s="3"/>
      <c r="J42">
        <v>40</v>
      </c>
      <c r="K42" s="24" t="s">
        <v>83</v>
      </c>
      <c r="L42" s="23">
        <f t="shared" si="2"/>
        <v>105974</v>
      </c>
      <c r="M42" s="23">
        <f t="shared" si="0"/>
        <v>86218</v>
      </c>
      <c r="N42" s="23">
        <f t="shared" si="4"/>
        <v>19756</v>
      </c>
      <c r="O42" s="23">
        <f t="shared" si="3"/>
        <v>36387439</v>
      </c>
      <c r="Q42" s="2" t="s">
        <v>497</v>
      </c>
      <c r="R42">
        <f>IF(O482&lt;=0,0,O482)</f>
        <v>0</v>
      </c>
      <c r="S42" s="16">
        <f t="shared" si="8"/>
        <v>182437.927</v>
      </c>
      <c r="T42" s="16">
        <f t="shared" si="7"/>
        <v>2957412.7519999999</v>
      </c>
      <c r="U42" s="16">
        <f t="shared" si="12"/>
        <v>44509080</v>
      </c>
      <c r="W42" s="2" t="s">
        <v>549</v>
      </c>
      <c r="X42" s="17">
        <f>計算用1!E839</f>
        <v>5.4415348433333337</v>
      </c>
      <c r="AC42" s="2" t="s">
        <v>497</v>
      </c>
      <c r="AD42" s="77">
        <f t="shared" si="11"/>
        <v>0.63</v>
      </c>
      <c r="AF42" s="2" t="s">
        <v>497</v>
      </c>
      <c r="AG42" s="23">
        <f>H826</f>
        <v>2507.4</v>
      </c>
      <c r="AH42" s="23">
        <f>IF(真実の家賃!$I$16="",AG42*0.05,真実の家賃!$I$16*0.05)</f>
        <v>125.37</v>
      </c>
      <c r="AI42" s="23"/>
    </row>
    <row r="43" spans="1:35" ht="18.600000000000001" thickBot="1" x14ac:dyDescent="0.5">
      <c r="A43" s="3"/>
      <c r="B43" s="3"/>
      <c r="D43" s="3"/>
      <c r="E43" s="3"/>
      <c r="F43" s="3"/>
      <c r="J43">
        <v>41</v>
      </c>
      <c r="K43" s="24" t="s">
        <v>84</v>
      </c>
      <c r="L43" s="23">
        <f t="shared" si="2"/>
        <v>105974</v>
      </c>
      <c r="M43" s="23">
        <f t="shared" si="0"/>
        <v>86265</v>
      </c>
      <c r="N43" s="23">
        <f t="shared" si="4"/>
        <v>19709</v>
      </c>
      <c r="O43" s="23">
        <f t="shared" si="3"/>
        <v>36301174</v>
      </c>
      <c r="Q43" s="2" t="s">
        <v>498</v>
      </c>
      <c r="R43">
        <f>IF(O494&lt;=0,0,O494)</f>
        <v>0</v>
      </c>
      <c r="S43" s="16">
        <f t="shared" si="8"/>
        <v>182437.927</v>
      </c>
      <c r="T43" s="16">
        <f t="shared" si="7"/>
        <v>2957412.7519999999</v>
      </c>
      <c r="U43" s="16">
        <f t="shared" si="12"/>
        <v>44509080</v>
      </c>
      <c r="W43" s="2" t="s">
        <v>550</v>
      </c>
      <c r="X43" s="17">
        <f>計算用1!E860</f>
        <v>5.3393022861788628</v>
      </c>
      <c r="AC43" s="2" t="s">
        <v>498</v>
      </c>
      <c r="AD43" s="77">
        <f t="shared" si="11"/>
        <v>0.63</v>
      </c>
      <c r="AF43" s="2" t="s">
        <v>498</v>
      </c>
      <c r="AG43" s="23">
        <f>H847</f>
        <v>2507.4</v>
      </c>
      <c r="AH43" s="23">
        <f>IF(真実の家賃!$I$16="",AG43*0.05,真実の家賃!$I$16*0.05)</f>
        <v>125.37</v>
      </c>
      <c r="AI43" s="23"/>
    </row>
    <row r="44" spans="1:35" ht="18.600000000000001" thickBot="1" x14ac:dyDescent="0.5">
      <c r="A44" s="10" t="s">
        <v>4</v>
      </c>
      <c r="B44" s="3"/>
      <c r="C44" s="3"/>
      <c r="D44" s="3"/>
      <c r="E44" s="4" t="s">
        <v>1</v>
      </c>
      <c r="F44" s="4"/>
      <c r="G44" s="38" t="s">
        <v>508</v>
      </c>
      <c r="H44" s="42">
        <f>H23+1</f>
        <v>3</v>
      </c>
      <c r="I44" t="s">
        <v>509</v>
      </c>
      <c r="J44">
        <v>42</v>
      </c>
      <c r="K44" s="24" t="s">
        <v>85</v>
      </c>
      <c r="L44" s="23">
        <f t="shared" si="2"/>
        <v>105974</v>
      </c>
      <c r="M44" s="23">
        <f t="shared" si="0"/>
        <v>86311</v>
      </c>
      <c r="N44" s="23">
        <f t="shared" si="4"/>
        <v>19663</v>
      </c>
      <c r="O44" s="23">
        <f t="shared" si="3"/>
        <v>36214863</v>
      </c>
      <c r="Q44" s="2" t="s">
        <v>499</v>
      </c>
      <c r="R44">
        <f>IF(O506&lt;=0,0,O506)</f>
        <v>0</v>
      </c>
      <c r="S44" s="16">
        <f t="shared" si="8"/>
        <v>182437.927</v>
      </c>
      <c r="T44" s="16">
        <f t="shared" si="7"/>
        <v>2957412.7519999999</v>
      </c>
      <c r="U44" s="16">
        <f t="shared" si="12"/>
        <v>44509080</v>
      </c>
      <c r="W44" s="2" t="s">
        <v>551</v>
      </c>
      <c r="X44" s="17">
        <f>計算用1!E881</f>
        <v>5.2419379460317463</v>
      </c>
      <c r="AC44" s="2" t="s">
        <v>499</v>
      </c>
      <c r="AD44" s="77">
        <f t="shared" si="11"/>
        <v>0.63</v>
      </c>
      <c r="AF44" s="2" t="s">
        <v>499</v>
      </c>
      <c r="AG44" s="23">
        <f>H868</f>
        <v>2507.4</v>
      </c>
      <c r="AH44" s="23">
        <f>IF(真実の家賃!$I$16="",AG44*0.05,真実の家賃!$I$16*0.05)</f>
        <v>125.37</v>
      </c>
      <c r="AI44" s="23"/>
    </row>
    <row r="45" spans="1:35" ht="18.600000000000001" thickBot="1" x14ac:dyDescent="0.5">
      <c r="A45" s="133" t="s">
        <v>5</v>
      </c>
      <c r="B45" s="133"/>
      <c r="C45" s="133"/>
      <c r="D45" s="133"/>
      <c r="E45" s="11" t="s">
        <v>0</v>
      </c>
      <c r="F45" s="3"/>
      <c r="G45" s="36" t="s">
        <v>464</v>
      </c>
      <c r="H45" s="37">
        <f t="shared" ref="H45:H50" si="13">H24</f>
        <v>3980</v>
      </c>
      <c r="I45" t="s">
        <v>465</v>
      </c>
      <c r="J45">
        <v>43</v>
      </c>
      <c r="K45" s="24" t="s">
        <v>86</v>
      </c>
      <c r="L45" s="23">
        <f t="shared" si="2"/>
        <v>105974</v>
      </c>
      <c r="M45" s="23">
        <f t="shared" si="0"/>
        <v>86358</v>
      </c>
      <c r="N45" s="23">
        <f t="shared" si="4"/>
        <v>19616</v>
      </c>
      <c r="O45" s="23">
        <f t="shared" si="3"/>
        <v>36128505</v>
      </c>
      <c r="Q45" s="2" t="s">
        <v>500</v>
      </c>
      <c r="R45">
        <f>IF(O518&lt;=0,0,O518)</f>
        <v>0</v>
      </c>
      <c r="S45" s="16">
        <f t="shared" si="8"/>
        <v>182437.927</v>
      </c>
      <c r="T45" s="16">
        <f t="shared" si="7"/>
        <v>2957412.7519999999</v>
      </c>
      <c r="U45" s="16">
        <f t="shared" si="12"/>
        <v>44509080</v>
      </c>
      <c r="W45" s="2" t="s">
        <v>552</v>
      </c>
      <c r="X45" s="17">
        <f>計算用1!E902</f>
        <v>5.1491021798449621</v>
      </c>
      <c r="AC45" s="2" t="s">
        <v>500</v>
      </c>
      <c r="AD45" s="77">
        <f t="shared" si="11"/>
        <v>0.63</v>
      </c>
      <c r="AF45" s="2" t="s">
        <v>500</v>
      </c>
      <c r="AG45" s="23">
        <f>H889</f>
        <v>2507.4</v>
      </c>
      <c r="AH45" s="23">
        <f>IF(真実の家賃!$I$16="",AG45*0.05,真実の家賃!$I$16*0.05)</f>
        <v>125.37</v>
      </c>
      <c r="AI45" s="23"/>
    </row>
    <row r="46" spans="1:35" ht="18.600000000000001" thickBot="1" x14ac:dyDescent="0.5">
      <c r="A46" s="85"/>
      <c r="B46" s="87"/>
      <c r="C46" s="127" t="s">
        <v>3</v>
      </c>
      <c r="D46" s="128"/>
      <c r="E46" s="29">
        <f>IF(H48="",0,H48)</f>
        <v>0</v>
      </c>
      <c r="F46" s="3"/>
      <c r="G46" s="25" t="s">
        <v>466</v>
      </c>
      <c r="H46" s="43">
        <f t="shared" si="13"/>
        <v>0.65</v>
      </c>
      <c r="I46" t="s">
        <v>469</v>
      </c>
      <c r="J46">
        <v>44</v>
      </c>
      <c r="K46" s="24" t="s">
        <v>87</v>
      </c>
      <c r="L46" s="23">
        <f t="shared" si="2"/>
        <v>105974</v>
      </c>
      <c r="M46" s="23">
        <f t="shared" si="0"/>
        <v>86405</v>
      </c>
      <c r="N46" s="23">
        <f t="shared" si="4"/>
        <v>19569</v>
      </c>
      <c r="O46" s="23">
        <f t="shared" si="3"/>
        <v>36042100</v>
      </c>
      <c r="Q46" s="2" t="s">
        <v>501</v>
      </c>
      <c r="R46">
        <f>IF(O530&lt;=0,0,O530)</f>
        <v>0</v>
      </c>
      <c r="S46" s="16">
        <f t="shared" si="8"/>
        <v>182437.927</v>
      </c>
      <c r="T46" s="16">
        <f t="shared" si="7"/>
        <v>2957412.7519999999</v>
      </c>
      <c r="U46" s="16">
        <f t="shared" si="12"/>
        <v>44509080</v>
      </c>
      <c r="W46" s="2" t="s">
        <v>553</v>
      </c>
      <c r="X46" s="17">
        <f>計算用1!E923</f>
        <v>5.0604862212121215</v>
      </c>
      <c r="AC46" s="2" t="s">
        <v>501</v>
      </c>
      <c r="AD46" s="77">
        <f t="shared" si="11"/>
        <v>0.63</v>
      </c>
      <c r="AF46" s="2" t="s">
        <v>501</v>
      </c>
      <c r="AG46" s="23">
        <f>H910</f>
        <v>2507.4</v>
      </c>
      <c r="AH46" s="23">
        <f>IF(真実の家賃!$I$16="",AG46*0.05,真実の家賃!$I$16*0.05)</f>
        <v>125.37</v>
      </c>
      <c r="AI46" s="23"/>
    </row>
    <row r="47" spans="1:35" ht="18.600000000000001" thickBot="1" x14ac:dyDescent="0.5">
      <c r="A47" s="86"/>
      <c r="B47" s="88"/>
      <c r="C47" s="127" t="s">
        <v>6</v>
      </c>
      <c r="D47" s="128"/>
      <c r="E47" s="19">
        <f>IF(H51="",$H$7*0.06,H51)</f>
        <v>238.79999999999998</v>
      </c>
      <c r="F47" s="3"/>
      <c r="G47" s="25" t="s">
        <v>467</v>
      </c>
      <c r="H47" s="37">
        <f t="shared" si="13"/>
        <v>35</v>
      </c>
      <c r="I47" t="s">
        <v>468</v>
      </c>
      <c r="J47">
        <v>45</v>
      </c>
      <c r="K47" s="24" t="s">
        <v>88</v>
      </c>
      <c r="L47" s="23">
        <f t="shared" si="2"/>
        <v>105974</v>
      </c>
      <c r="M47" s="23">
        <f t="shared" si="0"/>
        <v>86452</v>
      </c>
      <c r="N47" s="23">
        <f t="shared" si="4"/>
        <v>19522</v>
      </c>
      <c r="O47" s="23">
        <f t="shared" si="3"/>
        <v>35955648</v>
      </c>
      <c r="Q47" s="2" t="s">
        <v>502</v>
      </c>
      <c r="R47">
        <f>IF(O542&lt;=0,0,O542)</f>
        <v>0</v>
      </c>
      <c r="S47" s="16">
        <f t="shared" si="8"/>
        <v>182437.927</v>
      </c>
      <c r="T47" s="16">
        <f t="shared" si="7"/>
        <v>2957412.7519999999</v>
      </c>
      <c r="U47" s="16">
        <f t="shared" si="12"/>
        <v>44509080</v>
      </c>
      <c r="W47" s="2" t="s">
        <v>554</v>
      </c>
      <c r="X47" s="17">
        <f>計算用1!E944</f>
        <v>4.9758087496296302</v>
      </c>
      <c r="AC47" s="2" t="s">
        <v>502</v>
      </c>
      <c r="AD47" s="77">
        <f t="shared" si="11"/>
        <v>0.63</v>
      </c>
      <c r="AF47" s="2" t="s">
        <v>502</v>
      </c>
      <c r="AG47" s="23">
        <f>H931</f>
        <v>2507.4</v>
      </c>
      <c r="AH47" s="23">
        <f>IF(真実の家賃!$I$16="",AG47*0.05,真実の家賃!$I$16*0.05)</f>
        <v>125.37</v>
      </c>
      <c r="AI47" s="23"/>
    </row>
    <row r="48" spans="1:35" ht="18.600000000000001" thickBot="1" x14ac:dyDescent="0.5">
      <c r="A48" s="86"/>
      <c r="B48" s="91" t="s">
        <v>7</v>
      </c>
      <c r="C48" s="92"/>
      <c r="D48" s="92"/>
      <c r="E48" s="19">
        <f>SUM(E46:E47)</f>
        <v>238.79999999999998</v>
      </c>
      <c r="F48" s="3"/>
      <c r="G48" s="28" t="s">
        <v>3</v>
      </c>
      <c r="H48" s="37">
        <f t="shared" si="13"/>
        <v>0</v>
      </c>
      <c r="I48" t="s">
        <v>465</v>
      </c>
      <c r="J48">
        <v>46</v>
      </c>
      <c r="K48" s="24" t="s">
        <v>89</v>
      </c>
      <c r="L48" s="23">
        <f t="shared" si="2"/>
        <v>105974</v>
      </c>
      <c r="M48" s="23">
        <f t="shared" si="0"/>
        <v>86499</v>
      </c>
      <c r="N48" s="23">
        <f t="shared" si="4"/>
        <v>19475</v>
      </c>
      <c r="O48" s="23">
        <f t="shared" si="3"/>
        <v>35869149</v>
      </c>
      <c r="Q48" s="2" t="s">
        <v>503</v>
      </c>
      <c r="R48">
        <f>IF(O554&lt;=0,0,O554)</f>
        <v>0</v>
      </c>
      <c r="S48" s="16">
        <f t="shared" si="8"/>
        <v>182437.927</v>
      </c>
      <c r="T48" s="16">
        <f t="shared" si="7"/>
        <v>2957412.7519999999</v>
      </c>
      <c r="U48" s="16">
        <f t="shared" si="12"/>
        <v>44509080</v>
      </c>
      <c r="W48" s="2" t="s">
        <v>555</v>
      </c>
      <c r="X48" s="17">
        <f>計算用1!E965</f>
        <v>4.8948129072463775</v>
      </c>
      <c r="AC48" s="2" t="s">
        <v>503</v>
      </c>
      <c r="AD48" s="77">
        <f t="shared" si="11"/>
        <v>0.63</v>
      </c>
      <c r="AF48" s="2" t="s">
        <v>503</v>
      </c>
      <c r="AG48" s="23">
        <f>H952</f>
        <v>2507.4</v>
      </c>
      <c r="AH48" s="23">
        <f>IF(真実の家賃!$I$16="",AG48*0.05,真実の家賃!$I$16*0.05)</f>
        <v>125.37</v>
      </c>
      <c r="AI48" s="23"/>
    </row>
    <row r="49" spans="1:35" ht="18.600000000000001" thickBot="1" x14ac:dyDescent="0.5">
      <c r="A49" s="86"/>
      <c r="B49" s="7"/>
      <c r="C49" s="5" t="s">
        <v>8</v>
      </c>
      <c r="D49" s="5"/>
      <c r="E49" s="49">
        <f>_xlfn.SWITCH(H44,1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381.50639999999999</v>
      </c>
      <c r="F49" s="3"/>
      <c r="G49" s="28" t="s">
        <v>16</v>
      </c>
      <c r="H49" s="37">
        <f>真実の家賃!$I$8*AD5</f>
        <v>3767.7333333333336</v>
      </c>
      <c r="I49" t="s">
        <v>465</v>
      </c>
      <c r="J49">
        <v>47</v>
      </c>
      <c r="K49" s="24" t="s">
        <v>90</v>
      </c>
      <c r="L49" s="23">
        <f t="shared" si="2"/>
        <v>105974</v>
      </c>
      <c r="M49" s="23">
        <f t="shared" si="0"/>
        <v>86545</v>
      </c>
      <c r="N49" s="23">
        <f t="shared" si="4"/>
        <v>19429</v>
      </c>
      <c r="O49" s="23">
        <f t="shared" si="3"/>
        <v>35782604</v>
      </c>
      <c r="Q49" s="2" t="s">
        <v>504</v>
      </c>
      <c r="R49">
        <f>IF(O566&lt;=0,0,O566)</f>
        <v>0</v>
      </c>
      <c r="S49" s="16">
        <f t="shared" si="8"/>
        <v>182437.927</v>
      </c>
      <c r="T49" s="16">
        <f t="shared" si="7"/>
        <v>2957412.7519999999</v>
      </c>
      <c r="U49" s="16">
        <f t="shared" si="12"/>
        <v>44509080</v>
      </c>
      <c r="W49" s="2" t="s">
        <v>556</v>
      </c>
      <c r="X49" s="17">
        <f>計算用1!E986</f>
        <v>4.8172636964539013</v>
      </c>
      <c r="AC49" s="2" t="s">
        <v>504</v>
      </c>
      <c r="AD49" s="77">
        <f t="shared" si="11"/>
        <v>0.63</v>
      </c>
      <c r="AF49" s="2" t="s">
        <v>504</v>
      </c>
      <c r="AG49" s="23">
        <f>H973</f>
        <v>2507.4</v>
      </c>
      <c r="AH49" s="23">
        <f>IF(真実の家賃!$I$16="",AG49*0.05,真実の家賃!$I$16*0.05)</f>
        <v>125.37</v>
      </c>
      <c r="AI49" s="23"/>
    </row>
    <row r="50" spans="1:35" ht="18.600000000000001" thickBot="1" x14ac:dyDescent="0.5">
      <c r="A50" s="86"/>
      <c r="B50" s="8"/>
      <c r="C50" s="127" t="s">
        <v>2</v>
      </c>
      <c r="D50" s="128"/>
      <c r="E50" s="19">
        <f>IF(H52="",H44*15,H52)</f>
        <v>45</v>
      </c>
      <c r="F50" s="3"/>
      <c r="G50" s="56" t="s">
        <v>573</v>
      </c>
      <c r="H50" s="40" t="str">
        <f t="shared" si="13"/>
        <v/>
      </c>
      <c r="I50" t="s">
        <v>465</v>
      </c>
      <c r="J50">
        <v>48</v>
      </c>
      <c r="K50" s="24" t="s">
        <v>91</v>
      </c>
      <c r="L50" s="23">
        <f t="shared" si="2"/>
        <v>105974</v>
      </c>
      <c r="M50" s="23">
        <f t="shared" si="0"/>
        <v>86592</v>
      </c>
      <c r="N50" s="23">
        <f t="shared" si="4"/>
        <v>19382</v>
      </c>
      <c r="O50" s="23">
        <f t="shared" si="3"/>
        <v>35696012</v>
      </c>
      <c r="Q50" s="2" t="s">
        <v>505</v>
      </c>
      <c r="R50">
        <f>IF(O578&lt;=0,0,O578)</f>
        <v>0</v>
      </c>
      <c r="S50" s="16">
        <f t="shared" si="8"/>
        <v>182437.927</v>
      </c>
      <c r="T50" s="16">
        <f t="shared" si="7"/>
        <v>2957412.7519999999</v>
      </c>
      <c r="U50" s="16">
        <f t="shared" si="12"/>
        <v>44509080</v>
      </c>
      <c r="W50" s="2" t="s">
        <v>557</v>
      </c>
      <c r="X50" s="17">
        <f>計算用1!E1007</f>
        <v>4.7429457027777779</v>
      </c>
      <c r="AC50" s="2" t="s">
        <v>505</v>
      </c>
      <c r="AD50" s="77">
        <f t="shared" si="11"/>
        <v>0.63</v>
      </c>
      <c r="AF50" s="2" t="s">
        <v>505</v>
      </c>
      <c r="AG50" s="23">
        <f>H994</f>
        <v>2507.4</v>
      </c>
      <c r="AH50" s="23">
        <f>IF(真実の家賃!$I$16="",AG50*0.05,真実の家賃!$I$16*0.05)</f>
        <v>125.37</v>
      </c>
      <c r="AI50" s="23"/>
    </row>
    <row r="51" spans="1:35" ht="18.600000000000001" thickBot="1" x14ac:dyDescent="0.5">
      <c r="A51" s="86"/>
      <c r="B51" s="8"/>
      <c r="C51" s="129" t="s">
        <v>9</v>
      </c>
      <c r="D51" s="129"/>
      <c r="E51" s="19">
        <f>_xlfn.SWITCH(H44,1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-79.294145</v>
      </c>
      <c r="F51" s="3"/>
      <c r="G51" s="34" t="s">
        <v>6</v>
      </c>
      <c r="H51" s="40" t="str">
        <f t="shared" ref="H51:H53" si="14">H30</f>
        <v/>
      </c>
      <c r="I51" t="s">
        <v>465</v>
      </c>
      <c r="J51">
        <v>49</v>
      </c>
      <c r="K51" s="24" t="s">
        <v>92</v>
      </c>
      <c r="L51" s="23">
        <f t="shared" si="2"/>
        <v>105974</v>
      </c>
      <c r="M51" s="23">
        <f t="shared" si="0"/>
        <v>86639</v>
      </c>
      <c r="N51" s="23">
        <f t="shared" si="4"/>
        <v>19335</v>
      </c>
      <c r="O51" s="23">
        <f t="shared" si="3"/>
        <v>35609373</v>
      </c>
      <c r="Q51" s="2" t="s">
        <v>506</v>
      </c>
      <c r="R51">
        <f>IF(O590&lt;=0,0,O590)</f>
        <v>0</v>
      </c>
      <c r="S51" s="16">
        <f t="shared" si="8"/>
        <v>182437.927</v>
      </c>
      <c r="T51" s="16">
        <f t="shared" si="7"/>
        <v>2957412.7519999999</v>
      </c>
      <c r="U51" s="16">
        <f t="shared" si="12"/>
        <v>44509080</v>
      </c>
      <c r="W51" s="2" t="s">
        <v>558</v>
      </c>
      <c r="X51" s="17">
        <f>計算用1!E1028</f>
        <v>4.6716610965986396</v>
      </c>
      <c r="AC51" s="2" t="s">
        <v>506</v>
      </c>
      <c r="AD51" s="77">
        <f t="shared" si="11"/>
        <v>0.63</v>
      </c>
      <c r="AF51" s="2" t="s">
        <v>506</v>
      </c>
      <c r="AG51" s="23">
        <f>H1015</f>
        <v>2507.4</v>
      </c>
      <c r="AH51" s="23">
        <f>IF(真実の家賃!$I$16="",AG51*0.05,真実の家賃!$I$16*0.05)</f>
        <v>125.37</v>
      </c>
      <c r="AI51" s="23"/>
    </row>
    <row r="52" spans="1:35" ht="18.600000000000001" thickBot="1" x14ac:dyDescent="0.5">
      <c r="A52" s="86"/>
      <c r="B52" s="8"/>
      <c r="C52" s="130" t="s">
        <v>10</v>
      </c>
      <c r="D52" s="131"/>
      <c r="E52" s="19">
        <f>IF(H50="",$AA$3,H44*H50)</f>
        <v>0</v>
      </c>
      <c r="F52" s="3"/>
      <c r="G52" s="28" t="s">
        <v>560</v>
      </c>
      <c r="H52" s="40" t="str">
        <f t="shared" si="14"/>
        <v/>
      </c>
      <c r="I52" t="s">
        <v>465</v>
      </c>
      <c r="J52">
        <v>50</v>
      </c>
      <c r="K52" s="24" t="s">
        <v>93</v>
      </c>
      <c r="L52" s="23">
        <f t="shared" si="2"/>
        <v>105974</v>
      </c>
      <c r="M52" s="23">
        <f t="shared" si="0"/>
        <v>86686</v>
      </c>
      <c r="N52" s="23">
        <f t="shared" si="4"/>
        <v>19288</v>
      </c>
      <c r="O52" s="23">
        <f t="shared" si="3"/>
        <v>35522687</v>
      </c>
      <c r="Q52" s="2" t="s">
        <v>507</v>
      </c>
      <c r="R52">
        <f>IF(O602&lt;=0,0,O602)</f>
        <v>0</v>
      </c>
      <c r="S52" s="16">
        <f t="shared" si="8"/>
        <v>182437.927</v>
      </c>
      <c r="T52" s="16">
        <f t="shared" si="7"/>
        <v>2957412.7519999999</v>
      </c>
      <c r="U52" s="16">
        <f t="shared" si="12"/>
        <v>44509080</v>
      </c>
      <c r="W52" s="2" t="s">
        <v>559</v>
      </c>
      <c r="X52" s="17">
        <f>計算用1!E1049</f>
        <v>4.6032278746666675</v>
      </c>
      <c r="AC52" s="2" t="s">
        <v>507</v>
      </c>
      <c r="AD52" s="77">
        <f t="shared" si="11"/>
        <v>0.63</v>
      </c>
      <c r="AF52" s="2" t="s">
        <v>507</v>
      </c>
      <c r="AG52" s="23">
        <f>H1036</f>
        <v>2507.4</v>
      </c>
      <c r="AH52" s="23">
        <f>IF(真実の家賃!$I$16="",AG52*0.05,真実の家賃!$I$16*0.05)</f>
        <v>125.37</v>
      </c>
      <c r="AI52" s="23"/>
    </row>
    <row r="53" spans="1:35" ht="18.600000000000001" thickBot="1" x14ac:dyDescent="0.5">
      <c r="A53" s="86"/>
      <c r="B53" s="132" t="s">
        <v>11</v>
      </c>
      <c r="C53" s="126"/>
      <c r="D53" s="126"/>
      <c r="E53" s="19">
        <f>SUM(E49:E52)</f>
        <v>347.21225499999997</v>
      </c>
      <c r="F53" s="3"/>
      <c r="G53" s="33" t="s">
        <v>561</v>
      </c>
      <c r="H53" s="41" t="str">
        <f t="shared" si="14"/>
        <v/>
      </c>
      <c r="I53" t="s">
        <v>465</v>
      </c>
      <c r="J53">
        <v>51</v>
      </c>
      <c r="K53" s="24" t="s">
        <v>94</v>
      </c>
      <c r="L53" s="23">
        <f t="shared" si="2"/>
        <v>105974</v>
      </c>
      <c r="M53" s="23">
        <f t="shared" si="0"/>
        <v>86733</v>
      </c>
      <c r="N53" s="23">
        <f t="shared" si="4"/>
        <v>19241</v>
      </c>
      <c r="O53" s="23">
        <f t="shared" si="3"/>
        <v>35435954</v>
      </c>
    </row>
    <row r="54" spans="1:35" ht="18.600000000000001" thickBot="1" x14ac:dyDescent="0.5">
      <c r="A54" s="86"/>
      <c r="B54" s="7"/>
      <c r="C54" s="127" t="s">
        <v>12</v>
      </c>
      <c r="D54" s="128"/>
      <c r="E54" s="19">
        <f>_xlfn.SWITCH(H44,1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3673.2031000000002</v>
      </c>
      <c r="F54" s="3"/>
      <c r="G54" s="32"/>
      <c r="J54">
        <v>52</v>
      </c>
      <c r="K54" s="24" t="s">
        <v>95</v>
      </c>
      <c r="L54" s="23">
        <f t="shared" si="2"/>
        <v>105974</v>
      </c>
      <c r="M54" s="23">
        <f t="shared" si="0"/>
        <v>86780</v>
      </c>
      <c r="N54" s="23">
        <f t="shared" si="4"/>
        <v>19194</v>
      </c>
      <c r="O54" s="23">
        <f t="shared" si="3"/>
        <v>35349174</v>
      </c>
    </row>
    <row r="55" spans="1:35" ht="18.600000000000001" thickBot="1" x14ac:dyDescent="0.5">
      <c r="A55" s="86"/>
      <c r="B55" s="8"/>
      <c r="C55" s="127" t="s">
        <v>13</v>
      </c>
      <c r="D55" s="128"/>
      <c r="E55" s="19">
        <f>IF(H53="",H49*0.05,H53)</f>
        <v>188.38666666666668</v>
      </c>
      <c r="F55" s="3"/>
      <c r="G55" s="30"/>
      <c r="J55">
        <v>53</v>
      </c>
      <c r="K55" s="24" t="s">
        <v>96</v>
      </c>
      <c r="L55" s="23">
        <f t="shared" si="2"/>
        <v>105974</v>
      </c>
      <c r="M55" s="23">
        <f t="shared" si="0"/>
        <v>86827</v>
      </c>
      <c r="N55" s="23">
        <f t="shared" si="4"/>
        <v>19147</v>
      </c>
      <c r="O55" s="23">
        <f t="shared" si="3"/>
        <v>35262347</v>
      </c>
    </row>
    <row r="56" spans="1:35" ht="18.600000000000001" thickBot="1" x14ac:dyDescent="0.5">
      <c r="A56" s="86"/>
      <c r="B56" s="132" t="s">
        <v>14</v>
      </c>
      <c r="C56" s="126"/>
      <c r="D56" s="126"/>
      <c r="E56" s="19">
        <f>SUM(E54:E55)</f>
        <v>3861.5897666666669</v>
      </c>
      <c r="F56" s="3"/>
      <c r="G56" s="30"/>
      <c r="J56">
        <v>54</v>
      </c>
      <c r="K56" s="24" t="s">
        <v>97</v>
      </c>
      <c r="L56" s="23">
        <f t="shared" si="2"/>
        <v>105974</v>
      </c>
      <c r="M56" s="23">
        <f t="shared" si="0"/>
        <v>86874</v>
      </c>
      <c r="N56" s="23">
        <f t="shared" si="4"/>
        <v>19100</v>
      </c>
      <c r="O56" s="23">
        <f t="shared" si="3"/>
        <v>35175473</v>
      </c>
    </row>
    <row r="57" spans="1:35" ht="18.600000000000001" thickBot="1" x14ac:dyDescent="0.5">
      <c r="A57" s="97" t="s">
        <v>15</v>
      </c>
      <c r="B57" s="98"/>
      <c r="C57" s="98"/>
      <c r="D57" s="99"/>
      <c r="E57" s="20">
        <f>E48+E53+E56</f>
        <v>4447.6020216666666</v>
      </c>
      <c r="F57" s="3"/>
      <c r="G57" s="30"/>
      <c r="J57">
        <v>55</v>
      </c>
      <c r="K57" s="24" t="s">
        <v>98</v>
      </c>
      <c r="L57" s="23">
        <f t="shared" si="2"/>
        <v>105974</v>
      </c>
      <c r="M57" s="23">
        <f t="shared" si="0"/>
        <v>86921</v>
      </c>
      <c r="N57" s="23">
        <f t="shared" si="4"/>
        <v>19053</v>
      </c>
      <c r="O57" s="23">
        <f t="shared" si="3"/>
        <v>35088552</v>
      </c>
    </row>
    <row r="58" spans="1:35" ht="18.600000000000001" thickBot="1" x14ac:dyDescent="0.5">
      <c r="A58" s="6"/>
      <c r="B58" s="126" t="s">
        <v>16</v>
      </c>
      <c r="C58" s="126"/>
      <c r="D58" s="126"/>
      <c r="E58" s="19">
        <f>H49</f>
        <v>3767.7333333333336</v>
      </c>
      <c r="F58" s="3"/>
      <c r="J58">
        <v>56</v>
      </c>
      <c r="K58" s="24" t="s">
        <v>99</v>
      </c>
      <c r="L58" s="23">
        <f t="shared" si="2"/>
        <v>105974</v>
      </c>
      <c r="M58" s="23">
        <f t="shared" si="0"/>
        <v>86968</v>
      </c>
      <c r="N58" s="23">
        <f t="shared" si="4"/>
        <v>19006</v>
      </c>
      <c r="O58" s="23">
        <f t="shared" si="3"/>
        <v>35001584</v>
      </c>
    </row>
    <row r="59" spans="1:35" ht="18.600000000000001" thickBot="1" x14ac:dyDescent="0.5">
      <c r="A59" s="97" t="s">
        <v>17</v>
      </c>
      <c r="B59" s="98"/>
      <c r="C59" s="98"/>
      <c r="D59" s="99"/>
      <c r="E59" s="20">
        <f>E58</f>
        <v>3767.7333333333336</v>
      </c>
      <c r="F59" s="3"/>
      <c r="J59">
        <v>57</v>
      </c>
      <c r="K59" s="24" t="s">
        <v>100</v>
      </c>
      <c r="L59" s="23">
        <f t="shared" si="2"/>
        <v>105974</v>
      </c>
      <c r="M59" s="23">
        <f t="shared" si="0"/>
        <v>87015</v>
      </c>
      <c r="N59" s="23">
        <f t="shared" si="4"/>
        <v>18959</v>
      </c>
      <c r="O59" s="23">
        <f t="shared" si="3"/>
        <v>34914569</v>
      </c>
    </row>
    <row r="60" spans="1:35" ht="18.600000000000001" thickBot="1" x14ac:dyDescent="0.5">
      <c r="A60" s="96" t="s">
        <v>18</v>
      </c>
      <c r="B60" s="96"/>
      <c r="C60" s="96"/>
      <c r="D60" s="96"/>
      <c r="E60" s="14">
        <f>12*H44</f>
        <v>36</v>
      </c>
      <c r="F60" s="3"/>
      <c r="J60">
        <v>58</v>
      </c>
      <c r="K60" s="24" t="s">
        <v>101</v>
      </c>
      <c r="L60" s="23">
        <f t="shared" si="2"/>
        <v>105974</v>
      </c>
      <c r="M60" s="23">
        <f t="shared" si="0"/>
        <v>87062</v>
      </c>
      <c r="N60" s="23">
        <f t="shared" si="4"/>
        <v>18912</v>
      </c>
      <c r="O60" s="23">
        <f t="shared" si="3"/>
        <v>34827507</v>
      </c>
    </row>
    <row r="61" spans="1:35" ht="18.600000000000001" thickBot="1" x14ac:dyDescent="0.5">
      <c r="A61" s="3"/>
      <c r="B61" s="3"/>
      <c r="C61" s="3"/>
      <c r="D61" s="3"/>
      <c r="E61" s="3"/>
      <c r="F61" s="3"/>
      <c r="J61">
        <v>59</v>
      </c>
      <c r="K61" s="24" t="s">
        <v>102</v>
      </c>
      <c r="L61" s="23">
        <f t="shared" si="2"/>
        <v>105974</v>
      </c>
      <c r="M61" s="23">
        <f t="shared" si="0"/>
        <v>87110</v>
      </c>
      <c r="N61" s="23">
        <f t="shared" si="4"/>
        <v>18864</v>
      </c>
      <c r="O61" s="23">
        <f t="shared" si="3"/>
        <v>34740397</v>
      </c>
    </row>
    <row r="62" spans="1:35" ht="18.600000000000001" thickBot="1" x14ac:dyDescent="0.5">
      <c r="A62" s="12" t="s">
        <v>19</v>
      </c>
      <c r="B62" s="12"/>
      <c r="C62" s="12"/>
      <c r="D62" s="12"/>
      <c r="E62" s="15">
        <f>-((E59-E57)/E60)</f>
        <v>18.885241342592582</v>
      </c>
      <c r="F62" s="3" t="s">
        <v>20</v>
      </c>
      <c r="J62">
        <v>60</v>
      </c>
      <c r="K62" s="24" t="s">
        <v>103</v>
      </c>
      <c r="L62" s="23">
        <f t="shared" si="2"/>
        <v>105974</v>
      </c>
      <c r="M62" s="23">
        <f t="shared" si="0"/>
        <v>87157</v>
      </c>
      <c r="N62" s="23">
        <f t="shared" si="4"/>
        <v>18817</v>
      </c>
      <c r="O62" s="23">
        <f>IF(L62&lt;=0,0,(O61-M62))</f>
        <v>34653240</v>
      </c>
    </row>
    <row r="63" spans="1:35" x14ac:dyDescent="0.45">
      <c r="A63" s="3"/>
      <c r="B63" s="3"/>
      <c r="C63" s="3"/>
      <c r="D63" s="3"/>
      <c r="E63" s="3"/>
      <c r="F63" s="3"/>
      <c r="J63">
        <v>61</v>
      </c>
      <c r="K63" s="24" t="s">
        <v>104</v>
      </c>
      <c r="L63" s="23">
        <f t="shared" si="2"/>
        <v>105974</v>
      </c>
      <c r="M63" s="23">
        <f t="shared" si="0"/>
        <v>87204</v>
      </c>
      <c r="N63" s="23">
        <f t="shared" si="4"/>
        <v>18770</v>
      </c>
      <c r="O63" s="23">
        <f t="shared" si="3"/>
        <v>34566036</v>
      </c>
    </row>
    <row r="64" spans="1:35" ht="18.600000000000001" thickBot="1" x14ac:dyDescent="0.5">
      <c r="A64" s="3"/>
      <c r="B64" s="3"/>
      <c r="D64" s="3"/>
      <c r="E64" s="3"/>
      <c r="F64" s="3"/>
      <c r="J64">
        <v>62</v>
      </c>
      <c r="K64" s="24" t="s">
        <v>105</v>
      </c>
      <c r="L64" s="23">
        <f t="shared" si="2"/>
        <v>105974</v>
      </c>
      <c r="M64" s="23">
        <f t="shared" si="0"/>
        <v>87251</v>
      </c>
      <c r="N64" s="23">
        <f t="shared" si="4"/>
        <v>18723</v>
      </c>
      <c r="O64" s="23">
        <f t="shared" si="3"/>
        <v>34478785</v>
      </c>
    </row>
    <row r="65" spans="1:15" ht="18.600000000000001" thickBot="1" x14ac:dyDescent="0.5">
      <c r="A65" s="10" t="s">
        <v>4</v>
      </c>
      <c r="B65" s="3"/>
      <c r="C65" s="3"/>
      <c r="D65" s="3"/>
      <c r="E65" s="4" t="s">
        <v>1</v>
      </c>
      <c r="F65" s="4"/>
      <c r="G65" s="38" t="s">
        <v>508</v>
      </c>
      <c r="H65" s="42">
        <f t="shared" ref="H65" si="15">H44+1</f>
        <v>4</v>
      </c>
      <c r="I65" t="s">
        <v>509</v>
      </c>
      <c r="J65">
        <v>63</v>
      </c>
      <c r="K65" s="24" t="s">
        <v>106</v>
      </c>
      <c r="L65" s="23">
        <f t="shared" si="2"/>
        <v>105974</v>
      </c>
      <c r="M65" s="23">
        <f t="shared" si="0"/>
        <v>87298</v>
      </c>
      <c r="N65" s="23">
        <f t="shared" si="4"/>
        <v>18676</v>
      </c>
      <c r="O65" s="23">
        <f t="shared" si="3"/>
        <v>34391487</v>
      </c>
    </row>
    <row r="66" spans="1:15" ht="18.600000000000001" thickBot="1" x14ac:dyDescent="0.5">
      <c r="A66" s="133" t="s">
        <v>5</v>
      </c>
      <c r="B66" s="133"/>
      <c r="C66" s="133"/>
      <c r="D66" s="133"/>
      <c r="E66" s="11" t="s">
        <v>0</v>
      </c>
      <c r="F66" s="3"/>
      <c r="G66" s="36" t="s">
        <v>464</v>
      </c>
      <c r="H66" s="37">
        <f t="shared" ref="H66:H116" si="16">H45</f>
        <v>3980</v>
      </c>
      <c r="I66" t="s">
        <v>465</v>
      </c>
      <c r="J66">
        <v>64</v>
      </c>
      <c r="K66" s="24" t="s">
        <v>107</v>
      </c>
      <c r="L66" s="23">
        <f t="shared" si="2"/>
        <v>105974</v>
      </c>
      <c r="M66" s="23">
        <f t="shared" si="0"/>
        <v>87346</v>
      </c>
      <c r="N66" s="23">
        <f t="shared" si="4"/>
        <v>18628</v>
      </c>
      <c r="O66" s="23">
        <f t="shared" si="3"/>
        <v>34304141</v>
      </c>
    </row>
    <row r="67" spans="1:15" ht="18.600000000000001" thickBot="1" x14ac:dyDescent="0.5">
      <c r="A67" s="85"/>
      <c r="B67" s="87"/>
      <c r="C67" s="127" t="s">
        <v>3</v>
      </c>
      <c r="D67" s="128"/>
      <c r="E67" s="29">
        <f>IF(H69="",0,H69)</f>
        <v>0</v>
      </c>
      <c r="F67" s="3"/>
      <c r="G67" s="25" t="s">
        <v>466</v>
      </c>
      <c r="H67" s="43">
        <f t="shared" si="16"/>
        <v>0.65</v>
      </c>
      <c r="I67" t="s">
        <v>469</v>
      </c>
      <c r="J67">
        <v>65</v>
      </c>
      <c r="K67" s="24" t="s">
        <v>108</v>
      </c>
      <c r="L67" s="23">
        <f t="shared" si="2"/>
        <v>105974</v>
      </c>
      <c r="M67" s="23">
        <f t="shared" si="0"/>
        <v>87393</v>
      </c>
      <c r="N67" s="23">
        <f t="shared" si="4"/>
        <v>18581</v>
      </c>
      <c r="O67" s="23">
        <f t="shared" si="3"/>
        <v>34216748</v>
      </c>
    </row>
    <row r="68" spans="1:15" ht="18.600000000000001" thickBot="1" x14ac:dyDescent="0.5">
      <c r="A68" s="86"/>
      <c r="B68" s="88"/>
      <c r="C68" s="127" t="s">
        <v>6</v>
      </c>
      <c r="D68" s="128"/>
      <c r="E68" s="19">
        <f>IF(H72="",$H$7*0.06,H72)</f>
        <v>238.79999999999998</v>
      </c>
      <c r="F68" s="3"/>
      <c r="G68" s="25" t="s">
        <v>467</v>
      </c>
      <c r="H68" s="37">
        <f t="shared" si="16"/>
        <v>35</v>
      </c>
      <c r="I68" t="s">
        <v>468</v>
      </c>
      <c r="J68">
        <v>66</v>
      </c>
      <c r="K68" s="24" t="s">
        <v>109</v>
      </c>
      <c r="L68" s="23">
        <f t="shared" si="2"/>
        <v>105974</v>
      </c>
      <c r="M68" s="23">
        <f t="shared" ref="M68:M131" si="17">IF(L68&lt;=0,0,L68-N68)</f>
        <v>87440</v>
      </c>
      <c r="N68" s="23">
        <f t="shared" si="4"/>
        <v>18534</v>
      </c>
      <c r="O68" s="23">
        <f t="shared" si="3"/>
        <v>34129308</v>
      </c>
    </row>
    <row r="69" spans="1:15" ht="18.600000000000001" thickBot="1" x14ac:dyDescent="0.5">
      <c r="A69" s="86"/>
      <c r="B69" s="91" t="s">
        <v>7</v>
      </c>
      <c r="C69" s="92"/>
      <c r="D69" s="92"/>
      <c r="E69" s="19">
        <f t="shared" ref="E69" si="18">SUM(E67:E68)</f>
        <v>238.79999999999998</v>
      </c>
      <c r="F69" s="3"/>
      <c r="G69" s="28" t="s">
        <v>3</v>
      </c>
      <c r="H69" s="37">
        <f t="shared" si="16"/>
        <v>0</v>
      </c>
      <c r="I69" t="s">
        <v>465</v>
      </c>
      <c r="J69">
        <v>67</v>
      </c>
      <c r="K69" s="24" t="s">
        <v>110</v>
      </c>
      <c r="L69" s="23">
        <f t="shared" ref="L69:L132" si="19">IF(N69&lt;=0,0,L68)</f>
        <v>105974</v>
      </c>
      <c r="M69" s="23">
        <f t="shared" si="17"/>
        <v>87488</v>
      </c>
      <c r="N69" s="23">
        <f t="shared" si="4"/>
        <v>18486</v>
      </c>
      <c r="O69" s="23">
        <f t="shared" ref="O69:O132" si="20">IF(L69&lt;=0,0,(O68-M69))</f>
        <v>34041820</v>
      </c>
    </row>
    <row r="70" spans="1:15" ht="18.600000000000001" thickBot="1" x14ac:dyDescent="0.5">
      <c r="A70" s="86"/>
      <c r="B70" s="7"/>
      <c r="C70" s="5" t="s">
        <v>8</v>
      </c>
      <c r="D70" s="5"/>
      <c r="E70" s="49">
        <f>_xlfn.SWITCH(H65,1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508.67520000000002</v>
      </c>
      <c r="F70" s="3"/>
      <c r="G70" s="28" t="s">
        <v>16</v>
      </c>
      <c r="H70" s="37">
        <f>真実の家賃!$I$8*AD6</f>
        <v>3661.6000000000008</v>
      </c>
      <c r="I70" t="s">
        <v>465</v>
      </c>
      <c r="J70">
        <v>68</v>
      </c>
      <c r="K70" s="24" t="s">
        <v>111</v>
      </c>
      <c r="L70" s="23">
        <f t="shared" si="19"/>
        <v>105974</v>
      </c>
      <c r="M70" s="23">
        <f t="shared" si="17"/>
        <v>87535</v>
      </c>
      <c r="N70" s="23">
        <f t="shared" ref="N70:N133" si="21">IF(O69&lt;=0,0,INT(O69*($H$4/100)/12))</f>
        <v>18439</v>
      </c>
      <c r="O70" s="23">
        <f t="shared" si="20"/>
        <v>33954285</v>
      </c>
    </row>
    <row r="71" spans="1:15" ht="18.600000000000001" thickBot="1" x14ac:dyDescent="0.5">
      <c r="A71" s="86"/>
      <c r="B71" s="8"/>
      <c r="C71" s="127" t="s">
        <v>2</v>
      </c>
      <c r="D71" s="128"/>
      <c r="E71" s="19">
        <f t="shared" ref="E71" si="22">IF(H73="",H65*15,H73)</f>
        <v>60</v>
      </c>
      <c r="F71" s="3"/>
      <c r="G71" s="56" t="s">
        <v>573</v>
      </c>
      <c r="H71" s="40" t="str">
        <f t="shared" si="16"/>
        <v/>
      </c>
      <c r="I71" t="s">
        <v>465</v>
      </c>
      <c r="J71">
        <v>69</v>
      </c>
      <c r="K71" s="24" t="s">
        <v>112</v>
      </c>
      <c r="L71" s="23">
        <f t="shared" si="19"/>
        <v>105974</v>
      </c>
      <c r="M71" s="23">
        <f t="shared" si="17"/>
        <v>87583</v>
      </c>
      <c r="N71" s="23">
        <f t="shared" si="21"/>
        <v>18391</v>
      </c>
      <c r="O71" s="23">
        <f t="shared" si="20"/>
        <v>33866702</v>
      </c>
    </row>
    <row r="72" spans="1:15" ht="18.600000000000001" thickBot="1" x14ac:dyDescent="0.5">
      <c r="A72" s="86"/>
      <c r="B72" s="8"/>
      <c r="C72" s="129" t="s">
        <v>9</v>
      </c>
      <c r="D72" s="129"/>
      <c r="E72" s="19">
        <f t="shared" ref="E72" si="23">_xlfn.SWITCH(H65,1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-104.2813534</v>
      </c>
      <c r="F72" s="3"/>
      <c r="G72" s="34" t="s">
        <v>6</v>
      </c>
      <c r="H72" s="40" t="str">
        <f t="shared" si="16"/>
        <v/>
      </c>
      <c r="I72" t="s">
        <v>465</v>
      </c>
      <c r="J72">
        <v>70</v>
      </c>
      <c r="K72" s="24" t="s">
        <v>113</v>
      </c>
      <c r="L72" s="23">
        <f t="shared" si="19"/>
        <v>105974</v>
      </c>
      <c r="M72" s="23">
        <f t="shared" si="17"/>
        <v>87630</v>
      </c>
      <c r="N72" s="23">
        <f t="shared" si="21"/>
        <v>18344</v>
      </c>
      <c r="O72" s="23">
        <f t="shared" si="20"/>
        <v>33779072</v>
      </c>
    </row>
    <row r="73" spans="1:15" ht="18.600000000000001" thickBot="1" x14ac:dyDescent="0.5">
      <c r="A73" s="86"/>
      <c r="B73" s="8"/>
      <c r="C73" s="130" t="s">
        <v>10</v>
      </c>
      <c r="D73" s="131"/>
      <c r="E73" s="19">
        <f t="shared" ref="E73" si="24">IF(H71="",$AA$3,H65*H71)</f>
        <v>0</v>
      </c>
      <c r="F73" s="3"/>
      <c r="G73" s="28" t="s">
        <v>560</v>
      </c>
      <c r="H73" s="40" t="str">
        <f t="shared" si="16"/>
        <v/>
      </c>
      <c r="I73" t="s">
        <v>465</v>
      </c>
      <c r="J73">
        <v>71</v>
      </c>
      <c r="K73" s="24" t="s">
        <v>114</v>
      </c>
      <c r="L73" s="23">
        <f t="shared" si="19"/>
        <v>105974</v>
      </c>
      <c r="M73" s="23">
        <f t="shared" si="17"/>
        <v>87678</v>
      </c>
      <c r="N73" s="23">
        <f t="shared" si="21"/>
        <v>18296</v>
      </c>
      <c r="O73" s="23">
        <f t="shared" si="20"/>
        <v>33691394</v>
      </c>
    </row>
    <row r="74" spans="1:15" ht="18.600000000000001" thickBot="1" x14ac:dyDescent="0.5">
      <c r="A74" s="86"/>
      <c r="B74" s="132" t="s">
        <v>11</v>
      </c>
      <c r="C74" s="126"/>
      <c r="D74" s="126"/>
      <c r="E74" s="19">
        <f t="shared" ref="E74" si="25">SUM(E70:E73)</f>
        <v>464.39384660000002</v>
      </c>
      <c r="F74" s="3"/>
      <c r="G74" s="33" t="s">
        <v>561</v>
      </c>
      <c r="H74" s="41" t="str">
        <f t="shared" si="16"/>
        <v/>
      </c>
      <c r="I74" t="s">
        <v>465</v>
      </c>
      <c r="J74">
        <v>72</v>
      </c>
      <c r="K74" s="24" t="s">
        <v>115</v>
      </c>
      <c r="L74" s="23">
        <f t="shared" si="19"/>
        <v>105974</v>
      </c>
      <c r="M74" s="23">
        <f t="shared" si="17"/>
        <v>87725</v>
      </c>
      <c r="N74" s="23">
        <f t="shared" si="21"/>
        <v>18249</v>
      </c>
      <c r="O74" s="23">
        <f t="shared" si="20"/>
        <v>33603669</v>
      </c>
    </row>
    <row r="75" spans="1:15" ht="18.600000000000001" thickBot="1" x14ac:dyDescent="0.5">
      <c r="A75" s="86"/>
      <c r="B75" s="7"/>
      <c r="C75" s="127" t="s">
        <v>12</v>
      </c>
      <c r="D75" s="128"/>
      <c r="E75" s="19">
        <f t="shared" ref="E75" si="26">_xlfn.SWITCH(H65,1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3569.6012000000001</v>
      </c>
      <c r="F75" s="3"/>
      <c r="G75" s="32"/>
      <c r="J75">
        <v>73</v>
      </c>
      <c r="K75" s="24" t="s">
        <v>116</v>
      </c>
      <c r="L75" s="23">
        <f t="shared" si="19"/>
        <v>105974</v>
      </c>
      <c r="M75" s="23">
        <f t="shared" si="17"/>
        <v>87773</v>
      </c>
      <c r="N75" s="23">
        <f t="shared" si="21"/>
        <v>18201</v>
      </c>
      <c r="O75" s="23">
        <f t="shared" si="20"/>
        <v>33515896</v>
      </c>
    </row>
    <row r="76" spans="1:15" ht="18.600000000000001" thickBot="1" x14ac:dyDescent="0.5">
      <c r="A76" s="86"/>
      <c r="B76" s="8"/>
      <c r="C76" s="127" t="s">
        <v>13</v>
      </c>
      <c r="D76" s="128"/>
      <c r="E76" s="19">
        <f t="shared" ref="E76" si="27">IF(H74="",H70*0.05,H74)</f>
        <v>183.08000000000004</v>
      </c>
      <c r="F76" s="3"/>
      <c r="G76" s="30"/>
      <c r="J76">
        <v>74</v>
      </c>
      <c r="K76" s="24" t="s">
        <v>117</v>
      </c>
      <c r="L76" s="23">
        <f t="shared" si="19"/>
        <v>105974</v>
      </c>
      <c r="M76" s="23">
        <f t="shared" si="17"/>
        <v>87820</v>
      </c>
      <c r="N76" s="23">
        <f t="shared" si="21"/>
        <v>18154</v>
      </c>
      <c r="O76" s="23">
        <f t="shared" si="20"/>
        <v>33428076</v>
      </c>
    </row>
    <row r="77" spans="1:15" ht="18.600000000000001" thickBot="1" x14ac:dyDescent="0.5">
      <c r="A77" s="86"/>
      <c r="B77" s="132" t="s">
        <v>14</v>
      </c>
      <c r="C77" s="126"/>
      <c r="D77" s="126"/>
      <c r="E77" s="19">
        <f t="shared" ref="E77" si="28">SUM(E75:E76)</f>
        <v>3752.6812</v>
      </c>
      <c r="F77" s="3"/>
      <c r="G77" s="30"/>
      <c r="J77">
        <v>75</v>
      </c>
      <c r="K77" s="24" t="s">
        <v>118</v>
      </c>
      <c r="L77" s="23">
        <f t="shared" si="19"/>
        <v>105974</v>
      </c>
      <c r="M77" s="23">
        <f t="shared" si="17"/>
        <v>87868</v>
      </c>
      <c r="N77" s="23">
        <f t="shared" si="21"/>
        <v>18106</v>
      </c>
      <c r="O77" s="23">
        <f t="shared" si="20"/>
        <v>33340208</v>
      </c>
    </row>
    <row r="78" spans="1:15" ht="18.600000000000001" thickBot="1" x14ac:dyDescent="0.5">
      <c r="A78" s="97" t="s">
        <v>15</v>
      </c>
      <c r="B78" s="98"/>
      <c r="C78" s="98"/>
      <c r="D78" s="99"/>
      <c r="E78" s="20">
        <f t="shared" ref="E78" si="29">E69+E74+E77</f>
        <v>4455.8750466000001</v>
      </c>
      <c r="F78" s="3"/>
      <c r="G78" s="30"/>
      <c r="J78">
        <v>76</v>
      </c>
      <c r="K78" s="24" t="s">
        <v>119</v>
      </c>
      <c r="L78" s="23">
        <f t="shared" si="19"/>
        <v>105974</v>
      </c>
      <c r="M78" s="23">
        <f t="shared" si="17"/>
        <v>87915</v>
      </c>
      <c r="N78" s="23">
        <f t="shared" si="21"/>
        <v>18059</v>
      </c>
      <c r="O78" s="23">
        <f t="shared" si="20"/>
        <v>33252293</v>
      </c>
    </row>
    <row r="79" spans="1:15" ht="18.600000000000001" thickBot="1" x14ac:dyDescent="0.5">
      <c r="A79" s="6"/>
      <c r="B79" s="126" t="s">
        <v>16</v>
      </c>
      <c r="C79" s="126"/>
      <c r="D79" s="126"/>
      <c r="E79" s="19">
        <f t="shared" ref="E79" si="30">H70</f>
        <v>3661.6000000000008</v>
      </c>
      <c r="F79" s="3"/>
      <c r="J79">
        <v>77</v>
      </c>
      <c r="K79" s="24" t="s">
        <v>120</v>
      </c>
      <c r="L79" s="23">
        <f t="shared" si="19"/>
        <v>105974</v>
      </c>
      <c r="M79" s="23">
        <f t="shared" si="17"/>
        <v>87963</v>
      </c>
      <c r="N79" s="23">
        <f t="shared" si="21"/>
        <v>18011</v>
      </c>
      <c r="O79" s="23">
        <f t="shared" si="20"/>
        <v>33164330</v>
      </c>
    </row>
    <row r="80" spans="1:15" ht="18.600000000000001" thickBot="1" x14ac:dyDescent="0.5">
      <c r="A80" s="97" t="s">
        <v>17</v>
      </c>
      <c r="B80" s="98"/>
      <c r="C80" s="98"/>
      <c r="D80" s="99"/>
      <c r="E80" s="20">
        <f t="shared" ref="E80" si="31">E79</f>
        <v>3661.6000000000008</v>
      </c>
      <c r="F80" s="3"/>
      <c r="J80">
        <v>78</v>
      </c>
      <c r="K80" s="24" t="s">
        <v>121</v>
      </c>
      <c r="L80" s="23">
        <f t="shared" si="19"/>
        <v>105974</v>
      </c>
      <c r="M80" s="23">
        <f t="shared" si="17"/>
        <v>88010</v>
      </c>
      <c r="N80" s="23">
        <f t="shared" si="21"/>
        <v>17964</v>
      </c>
      <c r="O80" s="23">
        <f t="shared" si="20"/>
        <v>33076320</v>
      </c>
    </row>
    <row r="81" spans="1:15" ht="18.600000000000001" thickBot="1" x14ac:dyDescent="0.5">
      <c r="A81" s="96" t="s">
        <v>18</v>
      </c>
      <c r="B81" s="96"/>
      <c r="C81" s="96"/>
      <c r="D81" s="96"/>
      <c r="E81" s="14">
        <f t="shared" ref="E81" si="32">12*H65</f>
        <v>48</v>
      </c>
      <c r="F81" s="3"/>
      <c r="J81">
        <v>79</v>
      </c>
      <c r="K81" s="24" t="s">
        <v>122</v>
      </c>
      <c r="L81" s="23">
        <f t="shared" si="19"/>
        <v>105974</v>
      </c>
      <c r="M81" s="23">
        <f t="shared" si="17"/>
        <v>88058</v>
      </c>
      <c r="N81" s="23">
        <f t="shared" si="21"/>
        <v>17916</v>
      </c>
      <c r="O81" s="23">
        <f t="shared" si="20"/>
        <v>32988262</v>
      </c>
    </row>
    <row r="82" spans="1:15" ht="18.600000000000001" thickBot="1" x14ac:dyDescent="0.5">
      <c r="A82" s="3"/>
      <c r="B82" s="3"/>
      <c r="C82" s="3"/>
      <c r="D82" s="3"/>
      <c r="E82" s="3"/>
      <c r="F82" s="3"/>
      <c r="J82">
        <v>80</v>
      </c>
      <c r="K82" s="24" t="s">
        <v>123</v>
      </c>
      <c r="L82" s="23">
        <f t="shared" si="19"/>
        <v>105974</v>
      </c>
      <c r="M82" s="23">
        <f t="shared" si="17"/>
        <v>88106</v>
      </c>
      <c r="N82" s="23">
        <f t="shared" si="21"/>
        <v>17868</v>
      </c>
      <c r="O82" s="23">
        <f t="shared" si="20"/>
        <v>32900156</v>
      </c>
    </row>
    <row r="83" spans="1:15" ht="18.600000000000001" thickBot="1" x14ac:dyDescent="0.5">
      <c r="A83" s="12" t="s">
        <v>19</v>
      </c>
      <c r="B83" s="12"/>
      <c r="C83" s="12"/>
      <c r="D83" s="12"/>
      <c r="E83" s="15">
        <f t="shared" ref="E83" si="33">-((E80-E78)/E81)</f>
        <v>16.547396804166652</v>
      </c>
      <c r="F83" s="3" t="s">
        <v>20</v>
      </c>
      <c r="J83">
        <v>81</v>
      </c>
      <c r="K83" s="24" t="s">
        <v>124</v>
      </c>
      <c r="L83" s="23">
        <f t="shared" si="19"/>
        <v>105974</v>
      </c>
      <c r="M83" s="23">
        <f t="shared" si="17"/>
        <v>88154</v>
      </c>
      <c r="N83" s="23">
        <f t="shared" si="21"/>
        <v>17820</v>
      </c>
      <c r="O83" s="23">
        <f t="shared" si="20"/>
        <v>32812002</v>
      </c>
    </row>
    <row r="84" spans="1:15" x14ac:dyDescent="0.45">
      <c r="A84" s="3"/>
      <c r="B84" s="3"/>
      <c r="C84" s="3"/>
      <c r="D84" s="3"/>
      <c r="E84" s="3"/>
      <c r="F84" s="3"/>
      <c r="J84">
        <v>82</v>
      </c>
      <c r="K84" s="24" t="s">
        <v>125</v>
      </c>
      <c r="L84" s="23">
        <f t="shared" si="19"/>
        <v>105974</v>
      </c>
      <c r="M84" s="23">
        <f t="shared" si="17"/>
        <v>88201</v>
      </c>
      <c r="N84" s="23">
        <f t="shared" si="21"/>
        <v>17773</v>
      </c>
      <c r="O84" s="23">
        <f t="shared" si="20"/>
        <v>32723801</v>
      </c>
    </row>
    <row r="85" spans="1:15" ht="18.600000000000001" thickBot="1" x14ac:dyDescent="0.5">
      <c r="A85" s="3"/>
      <c r="B85" s="3"/>
      <c r="D85" s="3"/>
      <c r="E85" s="3"/>
      <c r="F85" s="3"/>
      <c r="J85">
        <v>83</v>
      </c>
      <c r="K85" s="24" t="s">
        <v>126</v>
      </c>
      <c r="L85" s="23">
        <f t="shared" si="19"/>
        <v>105974</v>
      </c>
      <c r="M85" s="23">
        <f t="shared" si="17"/>
        <v>88249</v>
      </c>
      <c r="N85" s="23">
        <f t="shared" si="21"/>
        <v>17725</v>
      </c>
      <c r="O85" s="23">
        <f t="shared" si="20"/>
        <v>32635552</v>
      </c>
    </row>
    <row r="86" spans="1:15" ht="18.600000000000001" thickBot="1" x14ac:dyDescent="0.5">
      <c r="A86" s="10" t="s">
        <v>4</v>
      </c>
      <c r="B86" s="3"/>
      <c r="C86" s="3"/>
      <c r="D86" s="3"/>
      <c r="E86" s="4" t="s">
        <v>1</v>
      </c>
      <c r="F86" s="4"/>
      <c r="G86" s="38" t="s">
        <v>508</v>
      </c>
      <c r="H86" s="42">
        <f t="shared" ref="H86" si="34">H65+1</f>
        <v>5</v>
      </c>
      <c r="I86" t="s">
        <v>509</v>
      </c>
      <c r="J86">
        <v>84</v>
      </c>
      <c r="K86" s="24" t="s">
        <v>127</v>
      </c>
      <c r="L86" s="23">
        <f t="shared" si="19"/>
        <v>105974</v>
      </c>
      <c r="M86" s="23">
        <f t="shared" si="17"/>
        <v>88297</v>
      </c>
      <c r="N86" s="23">
        <f t="shared" si="21"/>
        <v>17677</v>
      </c>
      <c r="O86" s="23">
        <f t="shared" si="20"/>
        <v>32547255</v>
      </c>
    </row>
    <row r="87" spans="1:15" ht="18.600000000000001" thickBot="1" x14ac:dyDescent="0.5">
      <c r="A87" s="133" t="s">
        <v>5</v>
      </c>
      <c r="B87" s="133"/>
      <c r="C87" s="133"/>
      <c r="D87" s="133"/>
      <c r="E87" s="11" t="s">
        <v>0</v>
      </c>
      <c r="F87" s="3"/>
      <c r="G87" s="36" t="s">
        <v>464</v>
      </c>
      <c r="H87" s="37">
        <f t="shared" ref="H87:H137" si="35">H66</f>
        <v>3980</v>
      </c>
      <c r="I87" t="s">
        <v>465</v>
      </c>
      <c r="J87">
        <v>85</v>
      </c>
      <c r="K87" s="24" t="s">
        <v>128</v>
      </c>
      <c r="L87" s="23">
        <f t="shared" si="19"/>
        <v>105974</v>
      </c>
      <c r="M87" s="23">
        <f t="shared" si="17"/>
        <v>88345</v>
      </c>
      <c r="N87" s="23">
        <f t="shared" si="21"/>
        <v>17629</v>
      </c>
      <c r="O87" s="23">
        <f t="shared" si="20"/>
        <v>32458910</v>
      </c>
    </row>
    <row r="88" spans="1:15" ht="18.600000000000001" thickBot="1" x14ac:dyDescent="0.5">
      <c r="A88" s="85"/>
      <c r="B88" s="87"/>
      <c r="C88" s="127" t="s">
        <v>3</v>
      </c>
      <c r="D88" s="128"/>
      <c r="E88" s="29">
        <f t="shared" ref="E88" si="36">IF(H90="",0,H90)</f>
        <v>0</v>
      </c>
      <c r="F88" s="3"/>
      <c r="G88" s="25" t="s">
        <v>466</v>
      </c>
      <c r="H88" s="43">
        <f t="shared" si="35"/>
        <v>0.65</v>
      </c>
      <c r="I88" t="s">
        <v>469</v>
      </c>
      <c r="J88">
        <v>86</v>
      </c>
      <c r="K88" s="24" t="s">
        <v>129</v>
      </c>
      <c r="L88" s="23">
        <f t="shared" si="19"/>
        <v>105974</v>
      </c>
      <c r="M88" s="23">
        <f t="shared" si="17"/>
        <v>88393</v>
      </c>
      <c r="N88" s="23">
        <f t="shared" si="21"/>
        <v>17581</v>
      </c>
      <c r="O88" s="23">
        <f t="shared" si="20"/>
        <v>32370517</v>
      </c>
    </row>
    <row r="89" spans="1:15" ht="18.600000000000001" thickBot="1" x14ac:dyDescent="0.5">
      <c r="A89" s="86"/>
      <c r="B89" s="88"/>
      <c r="C89" s="127" t="s">
        <v>6</v>
      </c>
      <c r="D89" s="128"/>
      <c r="E89" s="19">
        <f>IF(H93="",$H$7*0.06,H93)</f>
        <v>238.79999999999998</v>
      </c>
      <c r="F89" s="3"/>
      <c r="G89" s="25" t="s">
        <v>467</v>
      </c>
      <c r="H89" s="37">
        <f t="shared" si="35"/>
        <v>35</v>
      </c>
      <c r="I89" t="s">
        <v>468</v>
      </c>
      <c r="J89">
        <v>87</v>
      </c>
      <c r="K89" s="24" t="s">
        <v>130</v>
      </c>
      <c r="L89" s="23">
        <f t="shared" si="19"/>
        <v>105974</v>
      </c>
      <c r="M89" s="23">
        <f t="shared" si="17"/>
        <v>88440</v>
      </c>
      <c r="N89" s="23">
        <f t="shared" si="21"/>
        <v>17534</v>
      </c>
      <c r="O89" s="23">
        <f t="shared" si="20"/>
        <v>32282077</v>
      </c>
    </row>
    <row r="90" spans="1:15" ht="18.600000000000001" thickBot="1" x14ac:dyDescent="0.5">
      <c r="A90" s="86"/>
      <c r="B90" s="91" t="s">
        <v>7</v>
      </c>
      <c r="C90" s="92"/>
      <c r="D90" s="92"/>
      <c r="E90" s="19">
        <f t="shared" ref="E90" si="37">SUM(E88:E89)</f>
        <v>238.79999999999998</v>
      </c>
      <c r="F90" s="3"/>
      <c r="G90" s="28" t="s">
        <v>3</v>
      </c>
      <c r="H90" s="37">
        <f t="shared" si="35"/>
        <v>0</v>
      </c>
      <c r="I90" t="s">
        <v>465</v>
      </c>
      <c r="J90">
        <v>88</v>
      </c>
      <c r="K90" s="24" t="s">
        <v>131</v>
      </c>
      <c r="L90" s="23">
        <f t="shared" si="19"/>
        <v>105974</v>
      </c>
      <c r="M90" s="23">
        <f t="shared" si="17"/>
        <v>88488</v>
      </c>
      <c r="N90" s="23">
        <f t="shared" si="21"/>
        <v>17486</v>
      </c>
      <c r="O90" s="23">
        <f t="shared" si="20"/>
        <v>32193589</v>
      </c>
    </row>
    <row r="91" spans="1:15" ht="18.600000000000001" thickBot="1" x14ac:dyDescent="0.5">
      <c r="A91" s="86"/>
      <c r="B91" s="7"/>
      <c r="C91" s="5" t="s">
        <v>8</v>
      </c>
      <c r="D91" s="5"/>
      <c r="E91" s="49">
        <f>_xlfn.SWITCH(H86,1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635.84400000000005</v>
      </c>
      <c r="F91" s="3"/>
      <c r="G91" s="28" t="s">
        <v>16</v>
      </c>
      <c r="H91" s="37">
        <f>真実の家賃!$I$8*AD7</f>
        <v>3555.4666666666676</v>
      </c>
      <c r="I91" t="s">
        <v>465</v>
      </c>
      <c r="J91">
        <v>89</v>
      </c>
      <c r="K91" s="24" t="s">
        <v>132</v>
      </c>
      <c r="L91" s="23">
        <f t="shared" si="19"/>
        <v>105974</v>
      </c>
      <c r="M91" s="23">
        <f t="shared" si="17"/>
        <v>88536</v>
      </c>
      <c r="N91" s="23">
        <f t="shared" si="21"/>
        <v>17438</v>
      </c>
      <c r="O91" s="23">
        <f t="shared" si="20"/>
        <v>32105053</v>
      </c>
    </row>
    <row r="92" spans="1:15" ht="18.600000000000001" thickBot="1" x14ac:dyDescent="0.5">
      <c r="A92" s="86"/>
      <c r="B92" s="8"/>
      <c r="C92" s="127" t="s">
        <v>2</v>
      </c>
      <c r="D92" s="128"/>
      <c r="E92" s="19">
        <f t="shared" ref="E92" si="38">IF(H94="",H86*15,H94)</f>
        <v>75</v>
      </c>
      <c r="F92" s="3"/>
      <c r="G92" s="56" t="s">
        <v>573</v>
      </c>
      <c r="H92" s="40" t="str">
        <f t="shared" si="35"/>
        <v/>
      </c>
      <c r="I92" t="s">
        <v>465</v>
      </c>
      <c r="J92">
        <v>90</v>
      </c>
      <c r="K92" s="24" t="s">
        <v>133</v>
      </c>
      <c r="L92" s="23">
        <f t="shared" si="19"/>
        <v>105974</v>
      </c>
      <c r="M92" s="23">
        <f t="shared" si="17"/>
        <v>88584</v>
      </c>
      <c r="N92" s="23">
        <f t="shared" si="21"/>
        <v>17390</v>
      </c>
      <c r="O92" s="23">
        <f t="shared" si="20"/>
        <v>32016469</v>
      </c>
    </row>
    <row r="93" spans="1:15" ht="18.600000000000001" thickBot="1" x14ac:dyDescent="0.5">
      <c r="A93" s="86"/>
      <c r="B93" s="8"/>
      <c r="C93" s="129" t="s">
        <v>9</v>
      </c>
      <c r="D93" s="129"/>
      <c r="E93" s="19">
        <f t="shared" ref="E93" si="39">_xlfn.SWITCH(H86,1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-128.53862139999998</v>
      </c>
      <c r="F93" s="3"/>
      <c r="G93" s="34" t="s">
        <v>6</v>
      </c>
      <c r="H93" s="40" t="str">
        <f t="shared" si="35"/>
        <v/>
      </c>
      <c r="I93" t="s">
        <v>465</v>
      </c>
      <c r="J93">
        <v>91</v>
      </c>
      <c r="K93" s="24" t="s">
        <v>134</v>
      </c>
      <c r="L93" s="23">
        <f t="shared" si="19"/>
        <v>105974</v>
      </c>
      <c r="M93" s="23">
        <f t="shared" si="17"/>
        <v>88632</v>
      </c>
      <c r="N93" s="23">
        <f t="shared" si="21"/>
        <v>17342</v>
      </c>
      <c r="O93" s="23">
        <f t="shared" si="20"/>
        <v>31927837</v>
      </c>
    </row>
    <row r="94" spans="1:15" ht="18.600000000000001" thickBot="1" x14ac:dyDescent="0.5">
      <c r="A94" s="86"/>
      <c r="B94" s="8"/>
      <c r="C94" s="130" t="s">
        <v>10</v>
      </c>
      <c r="D94" s="131"/>
      <c r="E94" s="19">
        <f t="shared" ref="E94" si="40">IF(H92="",$AA$3,H86*H92)</f>
        <v>0</v>
      </c>
      <c r="F94" s="3"/>
      <c r="G94" s="28" t="s">
        <v>560</v>
      </c>
      <c r="H94" s="40" t="str">
        <f t="shared" si="35"/>
        <v/>
      </c>
      <c r="I94" t="s">
        <v>465</v>
      </c>
      <c r="J94">
        <v>92</v>
      </c>
      <c r="K94" s="24" t="s">
        <v>135</v>
      </c>
      <c r="L94" s="23">
        <f t="shared" si="19"/>
        <v>105974</v>
      </c>
      <c r="M94" s="23">
        <f t="shared" si="17"/>
        <v>88680</v>
      </c>
      <c r="N94" s="23">
        <f t="shared" si="21"/>
        <v>17294</v>
      </c>
      <c r="O94" s="23">
        <f t="shared" si="20"/>
        <v>31839157</v>
      </c>
    </row>
    <row r="95" spans="1:15" ht="18.600000000000001" thickBot="1" x14ac:dyDescent="0.5">
      <c r="A95" s="86"/>
      <c r="B95" s="132" t="s">
        <v>11</v>
      </c>
      <c r="C95" s="126"/>
      <c r="D95" s="126"/>
      <c r="E95" s="19">
        <f t="shared" ref="E95" si="41">SUM(E91:E94)</f>
        <v>582.30537860000004</v>
      </c>
      <c r="F95" s="3"/>
      <c r="G95" s="33" t="s">
        <v>561</v>
      </c>
      <c r="H95" s="41" t="str">
        <f t="shared" si="35"/>
        <v/>
      </c>
      <c r="I95" t="s">
        <v>465</v>
      </c>
      <c r="J95">
        <v>93</v>
      </c>
      <c r="K95" s="24" t="s">
        <v>136</v>
      </c>
      <c r="L95" s="23">
        <f t="shared" si="19"/>
        <v>105974</v>
      </c>
      <c r="M95" s="23">
        <f t="shared" si="17"/>
        <v>88728</v>
      </c>
      <c r="N95" s="23">
        <f t="shared" si="21"/>
        <v>17246</v>
      </c>
      <c r="O95" s="23">
        <f t="shared" si="20"/>
        <v>31750429</v>
      </c>
    </row>
    <row r="96" spans="1:15" ht="18.600000000000001" thickBot="1" x14ac:dyDescent="0.5">
      <c r="A96" s="86"/>
      <c r="B96" s="7"/>
      <c r="C96" s="127" t="s">
        <v>12</v>
      </c>
      <c r="D96" s="128"/>
      <c r="E96" s="19">
        <f>_xlfn.SWITCH(H86,1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3465.3240000000001</v>
      </c>
      <c r="F96" s="3"/>
      <c r="G96" s="32"/>
      <c r="J96">
        <v>94</v>
      </c>
      <c r="K96" s="24" t="s">
        <v>137</v>
      </c>
      <c r="L96" s="23">
        <f t="shared" si="19"/>
        <v>105974</v>
      </c>
      <c r="M96" s="23">
        <f t="shared" si="17"/>
        <v>88776</v>
      </c>
      <c r="N96" s="23">
        <f t="shared" si="21"/>
        <v>17198</v>
      </c>
      <c r="O96" s="23">
        <f t="shared" si="20"/>
        <v>31661653</v>
      </c>
    </row>
    <row r="97" spans="1:15" ht="18.600000000000001" thickBot="1" x14ac:dyDescent="0.5">
      <c r="A97" s="86"/>
      <c r="B97" s="8"/>
      <c r="C97" s="127" t="s">
        <v>13</v>
      </c>
      <c r="D97" s="128"/>
      <c r="E97" s="19">
        <f>IF(H95="",H91*0.05,H95)</f>
        <v>177.7733333333334</v>
      </c>
      <c r="F97" s="3"/>
      <c r="G97" s="30"/>
      <c r="J97">
        <v>95</v>
      </c>
      <c r="K97" s="24" t="s">
        <v>138</v>
      </c>
      <c r="L97" s="23">
        <f t="shared" si="19"/>
        <v>105974</v>
      </c>
      <c r="M97" s="23">
        <f t="shared" si="17"/>
        <v>88824</v>
      </c>
      <c r="N97" s="23">
        <f t="shared" si="21"/>
        <v>17150</v>
      </c>
      <c r="O97" s="23">
        <f t="shared" si="20"/>
        <v>31572829</v>
      </c>
    </row>
    <row r="98" spans="1:15" ht="18.600000000000001" thickBot="1" x14ac:dyDescent="0.5">
      <c r="A98" s="86"/>
      <c r="B98" s="132" t="s">
        <v>14</v>
      </c>
      <c r="C98" s="126"/>
      <c r="D98" s="126"/>
      <c r="E98" s="19">
        <f t="shared" ref="E98" si="42">SUM(E96:E97)</f>
        <v>3643.0973333333336</v>
      </c>
      <c r="F98" s="3"/>
      <c r="G98" s="30"/>
      <c r="J98">
        <v>96</v>
      </c>
      <c r="K98" s="24" t="s">
        <v>139</v>
      </c>
      <c r="L98" s="23">
        <f t="shared" si="19"/>
        <v>105974</v>
      </c>
      <c r="M98" s="23">
        <f t="shared" si="17"/>
        <v>88873</v>
      </c>
      <c r="N98" s="23">
        <f t="shared" si="21"/>
        <v>17101</v>
      </c>
      <c r="O98" s="23">
        <f t="shared" si="20"/>
        <v>31483956</v>
      </c>
    </row>
    <row r="99" spans="1:15" ht="18.600000000000001" thickBot="1" x14ac:dyDescent="0.5">
      <c r="A99" s="97" t="s">
        <v>15</v>
      </c>
      <c r="B99" s="98"/>
      <c r="C99" s="98"/>
      <c r="D99" s="99"/>
      <c r="E99" s="20">
        <f t="shared" ref="E99" si="43">E90+E95+E98</f>
        <v>4464.2027119333334</v>
      </c>
      <c r="F99" s="3"/>
      <c r="G99" s="30"/>
      <c r="J99">
        <v>97</v>
      </c>
      <c r="K99" s="24" t="s">
        <v>140</v>
      </c>
      <c r="L99" s="23">
        <f t="shared" si="19"/>
        <v>105974</v>
      </c>
      <c r="M99" s="23">
        <f t="shared" si="17"/>
        <v>88921</v>
      </c>
      <c r="N99" s="23">
        <f t="shared" si="21"/>
        <v>17053</v>
      </c>
      <c r="O99" s="23">
        <f t="shared" si="20"/>
        <v>31395035</v>
      </c>
    </row>
    <row r="100" spans="1:15" ht="18.600000000000001" thickBot="1" x14ac:dyDescent="0.5">
      <c r="A100" s="6"/>
      <c r="B100" s="126" t="s">
        <v>16</v>
      </c>
      <c r="C100" s="126"/>
      <c r="D100" s="126"/>
      <c r="E100" s="19">
        <f t="shared" ref="E100" si="44">H91</f>
        <v>3555.4666666666676</v>
      </c>
      <c r="F100" s="3"/>
      <c r="J100">
        <v>98</v>
      </c>
      <c r="K100" s="24" t="s">
        <v>141</v>
      </c>
      <c r="L100" s="23">
        <f t="shared" si="19"/>
        <v>105974</v>
      </c>
      <c r="M100" s="23">
        <f t="shared" si="17"/>
        <v>88969</v>
      </c>
      <c r="N100" s="23">
        <f t="shared" si="21"/>
        <v>17005</v>
      </c>
      <c r="O100" s="23">
        <f t="shared" si="20"/>
        <v>31306066</v>
      </c>
    </row>
    <row r="101" spans="1:15" ht="18.600000000000001" thickBot="1" x14ac:dyDescent="0.5">
      <c r="A101" s="97" t="s">
        <v>17</v>
      </c>
      <c r="B101" s="98"/>
      <c r="C101" s="98"/>
      <c r="D101" s="99"/>
      <c r="E101" s="20">
        <f t="shared" ref="E101" si="45">E100</f>
        <v>3555.4666666666676</v>
      </c>
      <c r="F101" s="3"/>
      <c r="J101">
        <v>99</v>
      </c>
      <c r="K101" s="24" t="s">
        <v>142</v>
      </c>
      <c r="L101" s="23">
        <f t="shared" si="19"/>
        <v>105974</v>
      </c>
      <c r="M101" s="23">
        <f t="shared" si="17"/>
        <v>89017</v>
      </c>
      <c r="N101" s="23">
        <f t="shared" si="21"/>
        <v>16957</v>
      </c>
      <c r="O101" s="23">
        <f t="shared" si="20"/>
        <v>31217049</v>
      </c>
    </row>
    <row r="102" spans="1:15" ht="18.600000000000001" thickBot="1" x14ac:dyDescent="0.5">
      <c r="A102" s="96" t="s">
        <v>18</v>
      </c>
      <c r="B102" s="96"/>
      <c r="C102" s="96"/>
      <c r="D102" s="96"/>
      <c r="E102" s="14">
        <f t="shared" ref="E102" si="46">12*H86</f>
        <v>60</v>
      </c>
      <c r="F102" s="3"/>
      <c r="J102">
        <v>100</v>
      </c>
      <c r="K102" s="24" t="s">
        <v>143</v>
      </c>
      <c r="L102" s="23">
        <f t="shared" si="19"/>
        <v>105974</v>
      </c>
      <c r="M102" s="23">
        <f t="shared" si="17"/>
        <v>89065</v>
      </c>
      <c r="N102" s="23">
        <f t="shared" si="21"/>
        <v>16909</v>
      </c>
      <c r="O102" s="23">
        <f t="shared" si="20"/>
        <v>31127984</v>
      </c>
    </row>
    <row r="103" spans="1:15" ht="18.600000000000001" thickBot="1" x14ac:dyDescent="0.5">
      <c r="A103" s="3"/>
      <c r="B103" s="3"/>
      <c r="C103" s="3"/>
      <c r="D103" s="3"/>
      <c r="E103" s="3"/>
      <c r="F103" s="3"/>
      <c r="J103">
        <v>101</v>
      </c>
      <c r="K103" s="24" t="s">
        <v>144</v>
      </c>
      <c r="L103" s="23">
        <f t="shared" si="19"/>
        <v>105974</v>
      </c>
      <c r="M103" s="23">
        <f t="shared" si="17"/>
        <v>89114</v>
      </c>
      <c r="N103" s="23">
        <f t="shared" si="21"/>
        <v>16860</v>
      </c>
      <c r="O103" s="23">
        <f t="shared" si="20"/>
        <v>31038870</v>
      </c>
    </row>
    <row r="104" spans="1:15" ht="18.600000000000001" thickBot="1" x14ac:dyDescent="0.5">
      <c r="A104" s="12" t="s">
        <v>19</v>
      </c>
      <c r="B104" s="12"/>
      <c r="C104" s="12"/>
      <c r="D104" s="12"/>
      <c r="E104" s="15">
        <f t="shared" ref="E104" si="47">-((E101-E99)/E102)</f>
        <v>15.145600754444429</v>
      </c>
      <c r="F104" s="3" t="s">
        <v>20</v>
      </c>
      <c r="J104">
        <v>102</v>
      </c>
      <c r="K104" s="24" t="s">
        <v>145</v>
      </c>
      <c r="L104" s="23">
        <f t="shared" si="19"/>
        <v>105974</v>
      </c>
      <c r="M104" s="23">
        <f t="shared" si="17"/>
        <v>89162</v>
      </c>
      <c r="N104" s="23">
        <f t="shared" si="21"/>
        <v>16812</v>
      </c>
      <c r="O104" s="23">
        <f t="shared" si="20"/>
        <v>30949708</v>
      </c>
    </row>
    <row r="105" spans="1:15" x14ac:dyDescent="0.45">
      <c r="A105" s="3"/>
      <c r="B105" s="3"/>
      <c r="C105" s="3"/>
      <c r="D105" s="3"/>
      <c r="E105" s="3"/>
      <c r="F105" s="3"/>
      <c r="J105">
        <v>103</v>
      </c>
      <c r="K105" s="24" t="s">
        <v>146</v>
      </c>
      <c r="L105" s="23">
        <f t="shared" si="19"/>
        <v>105974</v>
      </c>
      <c r="M105" s="23">
        <f t="shared" si="17"/>
        <v>89210</v>
      </c>
      <c r="N105" s="23">
        <f t="shared" si="21"/>
        <v>16764</v>
      </c>
      <c r="O105" s="23">
        <f t="shared" si="20"/>
        <v>30860498</v>
      </c>
    </row>
    <row r="106" spans="1:15" ht="18.600000000000001" thickBot="1" x14ac:dyDescent="0.5">
      <c r="A106" s="3"/>
      <c r="B106" s="3"/>
      <c r="D106" s="3"/>
      <c r="E106" s="3"/>
      <c r="F106" s="3"/>
      <c r="J106">
        <v>104</v>
      </c>
      <c r="K106" s="24" t="s">
        <v>147</v>
      </c>
      <c r="L106" s="23">
        <f t="shared" si="19"/>
        <v>105974</v>
      </c>
      <c r="M106" s="23">
        <f t="shared" si="17"/>
        <v>89258</v>
      </c>
      <c r="N106" s="23">
        <f t="shared" si="21"/>
        <v>16716</v>
      </c>
      <c r="O106" s="23">
        <f t="shared" si="20"/>
        <v>30771240</v>
      </c>
    </row>
    <row r="107" spans="1:15" ht="18.600000000000001" thickBot="1" x14ac:dyDescent="0.5">
      <c r="A107" s="10" t="s">
        <v>4</v>
      </c>
      <c r="B107" s="3"/>
      <c r="C107" s="3"/>
      <c r="D107" s="3"/>
      <c r="E107" s="4" t="s">
        <v>1</v>
      </c>
      <c r="F107" s="4"/>
      <c r="G107" s="38" t="s">
        <v>508</v>
      </c>
      <c r="H107" s="42">
        <f t="shared" ref="H107" si="48">H86+1</f>
        <v>6</v>
      </c>
      <c r="I107" t="s">
        <v>509</v>
      </c>
      <c r="J107">
        <v>105</v>
      </c>
      <c r="K107" s="24" t="s">
        <v>148</v>
      </c>
      <c r="L107" s="23">
        <f t="shared" si="19"/>
        <v>105974</v>
      </c>
      <c r="M107" s="23">
        <f t="shared" si="17"/>
        <v>89307</v>
      </c>
      <c r="N107" s="23">
        <f t="shared" si="21"/>
        <v>16667</v>
      </c>
      <c r="O107" s="23">
        <f t="shared" si="20"/>
        <v>30681933</v>
      </c>
    </row>
    <row r="108" spans="1:15" ht="18.600000000000001" thickBot="1" x14ac:dyDescent="0.5">
      <c r="A108" s="133" t="s">
        <v>5</v>
      </c>
      <c r="B108" s="133"/>
      <c r="C108" s="133"/>
      <c r="D108" s="133"/>
      <c r="E108" s="11" t="s">
        <v>0</v>
      </c>
      <c r="F108" s="3"/>
      <c r="G108" s="36" t="s">
        <v>464</v>
      </c>
      <c r="H108" s="37">
        <f t="shared" ref="H108:H113" si="49">H87</f>
        <v>3980</v>
      </c>
      <c r="I108" t="s">
        <v>465</v>
      </c>
      <c r="J108">
        <v>106</v>
      </c>
      <c r="K108" s="24" t="s">
        <v>149</v>
      </c>
      <c r="L108" s="23">
        <f t="shared" si="19"/>
        <v>105974</v>
      </c>
      <c r="M108" s="23">
        <f t="shared" si="17"/>
        <v>89355</v>
      </c>
      <c r="N108" s="23">
        <f t="shared" si="21"/>
        <v>16619</v>
      </c>
      <c r="O108" s="23">
        <f t="shared" si="20"/>
        <v>30592578</v>
      </c>
    </row>
    <row r="109" spans="1:15" ht="18.600000000000001" thickBot="1" x14ac:dyDescent="0.5">
      <c r="A109" s="85"/>
      <c r="B109" s="87"/>
      <c r="C109" s="127" t="s">
        <v>3</v>
      </c>
      <c r="D109" s="128"/>
      <c r="E109" s="29">
        <f t="shared" ref="E109" si="50">IF(H111="",0,H111)</f>
        <v>0</v>
      </c>
      <c r="F109" s="3"/>
      <c r="G109" s="25" t="s">
        <v>466</v>
      </c>
      <c r="H109" s="43">
        <f t="shared" si="49"/>
        <v>0.65</v>
      </c>
      <c r="I109" t="s">
        <v>469</v>
      </c>
      <c r="J109">
        <v>107</v>
      </c>
      <c r="K109" s="24" t="s">
        <v>150</v>
      </c>
      <c r="L109" s="23">
        <f t="shared" si="19"/>
        <v>105974</v>
      </c>
      <c r="M109" s="23">
        <f t="shared" si="17"/>
        <v>89404</v>
      </c>
      <c r="N109" s="23">
        <f t="shared" si="21"/>
        <v>16570</v>
      </c>
      <c r="O109" s="23">
        <f t="shared" si="20"/>
        <v>30503174</v>
      </c>
    </row>
    <row r="110" spans="1:15" ht="18.600000000000001" thickBot="1" x14ac:dyDescent="0.5">
      <c r="A110" s="86"/>
      <c r="B110" s="88"/>
      <c r="C110" s="127" t="s">
        <v>6</v>
      </c>
      <c r="D110" s="128"/>
      <c r="E110" s="19">
        <f>IF(H114="",$H$7*0.06,H114)</f>
        <v>238.79999999999998</v>
      </c>
      <c r="F110" s="3"/>
      <c r="G110" s="25" t="s">
        <v>467</v>
      </c>
      <c r="H110" s="37">
        <f t="shared" si="49"/>
        <v>35</v>
      </c>
      <c r="I110" t="s">
        <v>468</v>
      </c>
      <c r="J110">
        <v>108</v>
      </c>
      <c r="K110" s="24" t="s">
        <v>151</v>
      </c>
      <c r="L110" s="23">
        <f t="shared" si="19"/>
        <v>105974</v>
      </c>
      <c r="M110" s="23">
        <f t="shared" si="17"/>
        <v>89452</v>
      </c>
      <c r="N110" s="23">
        <f t="shared" si="21"/>
        <v>16522</v>
      </c>
      <c r="O110" s="23">
        <f t="shared" si="20"/>
        <v>30413722</v>
      </c>
    </row>
    <row r="111" spans="1:15" ht="18.600000000000001" thickBot="1" x14ac:dyDescent="0.5">
      <c r="A111" s="86"/>
      <c r="B111" s="91" t="s">
        <v>7</v>
      </c>
      <c r="C111" s="92"/>
      <c r="D111" s="92"/>
      <c r="E111" s="19">
        <f t="shared" ref="E111" si="51">SUM(E109:E110)</f>
        <v>238.79999999999998</v>
      </c>
      <c r="F111" s="3"/>
      <c r="G111" s="28" t="s">
        <v>3</v>
      </c>
      <c r="H111" s="37">
        <f t="shared" si="49"/>
        <v>0</v>
      </c>
      <c r="I111" t="s">
        <v>465</v>
      </c>
      <c r="J111">
        <v>109</v>
      </c>
      <c r="K111" s="24" t="s">
        <v>152</v>
      </c>
      <c r="L111" s="23">
        <f t="shared" si="19"/>
        <v>105974</v>
      </c>
      <c r="M111" s="23">
        <f t="shared" si="17"/>
        <v>89500</v>
      </c>
      <c r="N111" s="23">
        <f t="shared" si="21"/>
        <v>16474</v>
      </c>
      <c r="O111" s="23">
        <f t="shared" si="20"/>
        <v>30324222</v>
      </c>
    </row>
    <row r="112" spans="1:15" ht="18.600000000000001" thickBot="1" x14ac:dyDescent="0.5">
      <c r="A112" s="86"/>
      <c r="B112" s="7"/>
      <c r="C112" s="5" t="s">
        <v>8</v>
      </c>
      <c r="D112" s="5"/>
      <c r="E112" s="49">
        <f>_xlfn.SWITCH(H107,1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763.01279999999997</v>
      </c>
      <c r="F112" s="3"/>
      <c r="G112" s="28" t="s">
        <v>16</v>
      </c>
      <c r="H112" s="37">
        <f>真実の家賃!$I$8*AD8</f>
        <v>3449.3333333333344</v>
      </c>
      <c r="I112" t="s">
        <v>465</v>
      </c>
      <c r="J112">
        <v>110</v>
      </c>
      <c r="K112" s="24" t="s">
        <v>153</v>
      </c>
      <c r="L112" s="23">
        <f t="shared" si="19"/>
        <v>105974</v>
      </c>
      <c r="M112" s="23">
        <f t="shared" si="17"/>
        <v>89549</v>
      </c>
      <c r="N112" s="23">
        <f t="shared" si="21"/>
        <v>16425</v>
      </c>
      <c r="O112" s="23">
        <f t="shared" si="20"/>
        <v>30234673</v>
      </c>
    </row>
    <row r="113" spans="1:15" ht="18.600000000000001" thickBot="1" x14ac:dyDescent="0.5">
      <c r="A113" s="86"/>
      <c r="B113" s="8"/>
      <c r="C113" s="127" t="s">
        <v>2</v>
      </c>
      <c r="D113" s="128"/>
      <c r="E113" s="19">
        <f t="shared" ref="E113" si="52">IF(H115="",H107*15,H115)</f>
        <v>90</v>
      </c>
      <c r="F113" s="3"/>
      <c r="G113" s="56" t="s">
        <v>573</v>
      </c>
      <c r="H113" s="40" t="str">
        <f t="shared" si="49"/>
        <v/>
      </c>
      <c r="I113" t="s">
        <v>465</v>
      </c>
      <c r="J113">
        <v>111</v>
      </c>
      <c r="K113" s="24" t="s">
        <v>154</v>
      </c>
      <c r="L113" s="23">
        <f t="shared" si="19"/>
        <v>105974</v>
      </c>
      <c r="M113" s="23">
        <f t="shared" si="17"/>
        <v>89597</v>
      </c>
      <c r="N113" s="23">
        <f t="shared" si="21"/>
        <v>16377</v>
      </c>
      <c r="O113" s="23">
        <f t="shared" si="20"/>
        <v>30145076</v>
      </c>
    </row>
    <row r="114" spans="1:15" ht="18.600000000000001" thickBot="1" x14ac:dyDescent="0.5">
      <c r="A114" s="86"/>
      <c r="B114" s="8"/>
      <c r="C114" s="129" t="s">
        <v>9</v>
      </c>
      <c r="D114" s="129"/>
      <c r="E114" s="19">
        <f t="shared" ref="E114" si="53">_xlfn.SWITCH(H107,1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-152.0611897</v>
      </c>
      <c r="F114" s="3"/>
      <c r="G114" s="34" t="s">
        <v>6</v>
      </c>
      <c r="H114" s="40" t="str">
        <f t="shared" si="16"/>
        <v/>
      </c>
      <c r="I114" t="s">
        <v>465</v>
      </c>
      <c r="J114">
        <v>112</v>
      </c>
      <c r="K114" s="24" t="s">
        <v>155</v>
      </c>
      <c r="L114" s="23">
        <f t="shared" si="19"/>
        <v>105974</v>
      </c>
      <c r="M114" s="23">
        <f t="shared" si="17"/>
        <v>89646</v>
      </c>
      <c r="N114" s="23">
        <f t="shared" si="21"/>
        <v>16328</v>
      </c>
      <c r="O114" s="23">
        <f t="shared" si="20"/>
        <v>30055430</v>
      </c>
    </row>
    <row r="115" spans="1:15" ht="18.600000000000001" thickBot="1" x14ac:dyDescent="0.5">
      <c r="A115" s="86"/>
      <c r="B115" s="8"/>
      <c r="C115" s="130" t="s">
        <v>10</v>
      </c>
      <c r="D115" s="131"/>
      <c r="E115" s="19">
        <f t="shared" ref="E115" si="54">IF(H113="",$AA$3,H107*H113)</f>
        <v>0</v>
      </c>
      <c r="F115" s="3"/>
      <c r="G115" s="28" t="s">
        <v>560</v>
      </c>
      <c r="H115" s="40" t="str">
        <f t="shared" si="16"/>
        <v/>
      </c>
      <c r="I115" t="s">
        <v>465</v>
      </c>
      <c r="J115">
        <v>113</v>
      </c>
      <c r="K115" s="24" t="s">
        <v>156</v>
      </c>
      <c r="L115" s="23">
        <f t="shared" si="19"/>
        <v>105974</v>
      </c>
      <c r="M115" s="23">
        <f t="shared" si="17"/>
        <v>89694</v>
      </c>
      <c r="N115" s="23">
        <f t="shared" si="21"/>
        <v>16280</v>
      </c>
      <c r="O115" s="23">
        <f t="shared" si="20"/>
        <v>29965736</v>
      </c>
    </row>
    <row r="116" spans="1:15" ht="18.600000000000001" thickBot="1" x14ac:dyDescent="0.5">
      <c r="A116" s="86"/>
      <c r="B116" s="132" t="s">
        <v>11</v>
      </c>
      <c r="C116" s="126"/>
      <c r="D116" s="126"/>
      <c r="E116" s="19">
        <f t="shared" ref="E116" si="55">SUM(E112:E115)</f>
        <v>700.95161029999997</v>
      </c>
      <c r="F116" s="3"/>
      <c r="G116" s="33" t="s">
        <v>561</v>
      </c>
      <c r="H116" s="41" t="str">
        <f t="shared" si="16"/>
        <v/>
      </c>
      <c r="I116" t="s">
        <v>465</v>
      </c>
      <c r="J116">
        <v>114</v>
      </c>
      <c r="K116" s="24" t="s">
        <v>157</v>
      </c>
      <c r="L116" s="23">
        <f t="shared" si="19"/>
        <v>105974</v>
      </c>
      <c r="M116" s="23">
        <f t="shared" si="17"/>
        <v>89743</v>
      </c>
      <c r="N116" s="23">
        <f t="shared" si="21"/>
        <v>16231</v>
      </c>
      <c r="O116" s="23">
        <f t="shared" si="20"/>
        <v>29875993</v>
      </c>
    </row>
    <row r="117" spans="1:15" ht="18.600000000000001" thickBot="1" x14ac:dyDescent="0.5">
      <c r="A117" s="86"/>
      <c r="B117" s="7"/>
      <c r="C117" s="127" t="s">
        <v>12</v>
      </c>
      <c r="D117" s="128"/>
      <c r="E117" s="19">
        <f t="shared" ref="E117" si="56">_xlfn.SWITCH(H107,1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3360.3669</v>
      </c>
      <c r="F117" s="3"/>
      <c r="G117" s="32"/>
      <c r="J117">
        <v>115</v>
      </c>
      <c r="K117" s="24" t="s">
        <v>158</v>
      </c>
      <c r="L117" s="23">
        <f t="shared" si="19"/>
        <v>105974</v>
      </c>
      <c r="M117" s="23">
        <f t="shared" si="17"/>
        <v>89792</v>
      </c>
      <c r="N117" s="23">
        <f t="shared" si="21"/>
        <v>16182</v>
      </c>
      <c r="O117" s="23">
        <f t="shared" si="20"/>
        <v>29786201</v>
      </c>
    </row>
    <row r="118" spans="1:15" ht="18.600000000000001" thickBot="1" x14ac:dyDescent="0.5">
      <c r="A118" s="86"/>
      <c r="B118" s="8"/>
      <c r="C118" s="127" t="s">
        <v>13</v>
      </c>
      <c r="D118" s="128"/>
      <c r="E118" s="19">
        <f t="shared" ref="E118" si="57">IF(H116="",H112*0.05,H116)</f>
        <v>172.46666666666673</v>
      </c>
      <c r="F118" s="3"/>
      <c r="G118" s="30"/>
      <c r="J118">
        <v>116</v>
      </c>
      <c r="K118" s="24" t="s">
        <v>159</v>
      </c>
      <c r="L118" s="23">
        <f t="shared" si="19"/>
        <v>105974</v>
      </c>
      <c r="M118" s="23">
        <f t="shared" si="17"/>
        <v>89840</v>
      </c>
      <c r="N118" s="23">
        <f t="shared" si="21"/>
        <v>16134</v>
      </c>
      <c r="O118" s="23">
        <f t="shared" si="20"/>
        <v>29696361</v>
      </c>
    </row>
    <row r="119" spans="1:15" ht="18.600000000000001" thickBot="1" x14ac:dyDescent="0.5">
      <c r="A119" s="86"/>
      <c r="B119" s="132" t="s">
        <v>14</v>
      </c>
      <c r="C119" s="126"/>
      <c r="D119" s="126"/>
      <c r="E119" s="19">
        <f t="shared" ref="E119" si="58">SUM(E117:E118)</f>
        <v>3532.8335666666667</v>
      </c>
      <c r="F119" s="3"/>
      <c r="G119" s="30"/>
      <c r="J119">
        <v>117</v>
      </c>
      <c r="K119" s="24" t="s">
        <v>160</v>
      </c>
      <c r="L119" s="23">
        <f t="shared" si="19"/>
        <v>105974</v>
      </c>
      <c r="M119" s="23">
        <f t="shared" si="17"/>
        <v>89889</v>
      </c>
      <c r="N119" s="23">
        <f t="shared" si="21"/>
        <v>16085</v>
      </c>
      <c r="O119" s="23">
        <f t="shared" si="20"/>
        <v>29606472</v>
      </c>
    </row>
    <row r="120" spans="1:15" ht="18.600000000000001" thickBot="1" x14ac:dyDescent="0.5">
      <c r="A120" s="97" t="s">
        <v>15</v>
      </c>
      <c r="B120" s="98"/>
      <c r="C120" s="98"/>
      <c r="D120" s="99"/>
      <c r="E120" s="20">
        <f t="shared" ref="E120" si="59">E111+E116+E119</f>
        <v>4472.5851769666669</v>
      </c>
      <c r="F120" s="3"/>
      <c r="G120" s="30"/>
      <c r="J120">
        <v>118</v>
      </c>
      <c r="K120" s="24" t="s">
        <v>161</v>
      </c>
      <c r="L120" s="23">
        <f t="shared" si="19"/>
        <v>105974</v>
      </c>
      <c r="M120" s="23">
        <f t="shared" si="17"/>
        <v>89938</v>
      </c>
      <c r="N120" s="23">
        <f t="shared" si="21"/>
        <v>16036</v>
      </c>
      <c r="O120" s="23">
        <f t="shared" si="20"/>
        <v>29516534</v>
      </c>
    </row>
    <row r="121" spans="1:15" ht="18.600000000000001" thickBot="1" x14ac:dyDescent="0.5">
      <c r="A121" s="6"/>
      <c r="B121" s="126" t="s">
        <v>16</v>
      </c>
      <c r="C121" s="126"/>
      <c r="D121" s="126"/>
      <c r="E121" s="19">
        <f t="shared" ref="E121" si="60">H112</f>
        <v>3449.3333333333344</v>
      </c>
      <c r="F121" s="3"/>
      <c r="J121">
        <v>119</v>
      </c>
      <c r="K121" s="24" t="s">
        <v>162</v>
      </c>
      <c r="L121" s="23">
        <f t="shared" si="19"/>
        <v>105974</v>
      </c>
      <c r="M121" s="23">
        <f t="shared" si="17"/>
        <v>89986</v>
      </c>
      <c r="N121" s="23">
        <f t="shared" si="21"/>
        <v>15988</v>
      </c>
      <c r="O121" s="23">
        <f t="shared" si="20"/>
        <v>29426548</v>
      </c>
    </row>
    <row r="122" spans="1:15" ht="18.600000000000001" thickBot="1" x14ac:dyDescent="0.5">
      <c r="A122" s="97" t="s">
        <v>17</v>
      </c>
      <c r="B122" s="98"/>
      <c r="C122" s="98"/>
      <c r="D122" s="99"/>
      <c r="E122" s="20">
        <f t="shared" ref="E122" si="61">E121</f>
        <v>3449.3333333333344</v>
      </c>
      <c r="F122" s="3"/>
      <c r="J122">
        <v>120</v>
      </c>
      <c r="K122" s="24" t="s">
        <v>163</v>
      </c>
      <c r="L122" s="23">
        <f t="shared" si="19"/>
        <v>105974</v>
      </c>
      <c r="M122" s="23">
        <f t="shared" si="17"/>
        <v>90035</v>
      </c>
      <c r="N122" s="23">
        <f t="shared" si="21"/>
        <v>15939</v>
      </c>
      <c r="O122" s="23">
        <f t="shared" si="20"/>
        <v>29336513</v>
      </c>
    </row>
    <row r="123" spans="1:15" ht="18.600000000000001" thickBot="1" x14ac:dyDescent="0.5">
      <c r="A123" s="96" t="s">
        <v>18</v>
      </c>
      <c r="B123" s="96"/>
      <c r="C123" s="96"/>
      <c r="D123" s="96"/>
      <c r="E123" s="14">
        <f t="shared" ref="E123" si="62">12*H107</f>
        <v>72</v>
      </c>
      <c r="F123" s="3"/>
      <c r="J123">
        <v>121</v>
      </c>
      <c r="K123" s="24" t="s">
        <v>164</v>
      </c>
      <c r="L123" s="23">
        <f t="shared" si="19"/>
        <v>105974</v>
      </c>
      <c r="M123" s="23">
        <f t="shared" si="17"/>
        <v>90084</v>
      </c>
      <c r="N123" s="23">
        <f t="shared" si="21"/>
        <v>15890</v>
      </c>
      <c r="O123" s="23">
        <f t="shared" si="20"/>
        <v>29246429</v>
      </c>
    </row>
    <row r="124" spans="1:15" ht="18.600000000000001" thickBot="1" x14ac:dyDescent="0.5">
      <c r="A124" s="3"/>
      <c r="B124" s="3"/>
      <c r="C124" s="3"/>
      <c r="D124" s="3"/>
      <c r="E124" s="3"/>
      <c r="F124" s="3"/>
      <c r="J124">
        <v>122</v>
      </c>
      <c r="K124" s="24" t="s">
        <v>165</v>
      </c>
      <c r="L124" s="23">
        <f t="shared" si="19"/>
        <v>105974</v>
      </c>
      <c r="M124" s="23">
        <f t="shared" si="17"/>
        <v>90133</v>
      </c>
      <c r="N124" s="23">
        <f t="shared" si="21"/>
        <v>15841</v>
      </c>
      <c r="O124" s="23">
        <f t="shared" si="20"/>
        <v>29156296</v>
      </c>
    </row>
    <row r="125" spans="1:15" ht="18.600000000000001" thickBot="1" x14ac:dyDescent="0.5">
      <c r="A125" s="12" t="s">
        <v>19</v>
      </c>
      <c r="B125" s="12"/>
      <c r="C125" s="12"/>
      <c r="D125" s="12"/>
      <c r="E125" s="15">
        <f t="shared" ref="E125" si="63">-((E122-E120)/E123)</f>
        <v>14.211831161574063</v>
      </c>
      <c r="F125" s="3" t="s">
        <v>20</v>
      </c>
      <c r="J125">
        <v>123</v>
      </c>
      <c r="K125" s="24" t="s">
        <v>166</v>
      </c>
      <c r="L125" s="23">
        <f t="shared" si="19"/>
        <v>105974</v>
      </c>
      <c r="M125" s="23">
        <f t="shared" si="17"/>
        <v>90182</v>
      </c>
      <c r="N125" s="23">
        <f t="shared" si="21"/>
        <v>15792</v>
      </c>
      <c r="O125" s="23">
        <f t="shared" si="20"/>
        <v>29066114</v>
      </c>
    </row>
    <row r="126" spans="1:15" x14ac:dyDescent="0.45">
      <c r="A126" s="3"/>
      <c r="B126" s="3"/>
      <c r="C126" s="3"/>
      <c r="D126" s="3"/>
      <c r="E126" s="3"/>
      <c r="F126" s="3"/>
      <c r="J126">
        <v>124</v>
      </c>
      <c r="K126" s="24" t="s">
        <v>167</v>
      </c>
      <c r="L126" s="23">
        <f t="shared" si="19"/>
        <v>105974</v>
      </c>
      <c r="M126" s="23">
        <f t="shared" si="17"/>
        <v>90230</v>
      </c>
      <c r="N126" s="23">
        <f t="shared" si="21"/>
        <v>15744</v>
      </c>
      <c r="O126" s="23">
        <f t="shared" si="20"/>
        <v>28975884</v>
      </c>
    </row>
    <row r="127" spans="1:15" ht="18.600000000000001" thickBot="1" x14ac:dyDescent="0.5">
      <c r="A127" s="3"/>
      <c r="B127" s="3"/>
      <c r="D127" s="3"/>
      <c r="E127" s="3"/>
      <c r="F127" s="3"/>
      <c r="J127">
        <v>125</v>
      </c>
      <c r="K127" s="24" t="s">
        <v>168</v>
      </c>
      <c r="L127" s="23">
        <f t="shared" si="19"/>
        <v>105974</v>
      </c>
      <c r="M127" s="23">
        <f t="shared" si="17"/>
        <v>90279</v>
      </c>
      <c r="N127" s="23">
        <f t="shared" si="21"/>
        <v>15695</v>
      </c>
      <c r="O127" s="23">
        <f t="shared" si="20"/>
        <v>28885605</v>
      </c>
    </row>
    <row r="128" spans="1:15" ht="18.600000000000001" thickBot="1" x14ac:dyDescent="0.5">
      <c r="A128" s="10" t="s">
        <v>4</v>
      </c>
      <c r="B128" s="3"/>
      <c r="C128" s="3"/>
      <c r="D128" s="3"/>
      <c r="E128" s="4" t="s">
        <v>1</v>
      </c>
      <c r="F128" s="4"/>
      <c r="G128" s="38" t="s">
        <v>508</v>
      </c>
      <c r="H128" s="42">
        <f t="shared" ref="H128" si="64">H107+1</f>
        <v>7</v>
      </c>
      <c r="I128" t="s">
        <v>509</v>
      </c>
      <c r="J128">
        <v>126</v>
      </c>
      <c r="K128" s="24" t="s">
        <v>169</v>
      </c>
      <c r="L128" s="23">
        <f t="shared" si="19"/>
        <v>105974</v>
      </c>
      <c r="M128" s="23">
        <f t="shared" si="17"/>
        <v>90328</v>
      </c>
      <c r="N128" s="23">
        <f t="shared" si="21"/>
        <v>15646</v>
      </c>
      <c r="O128" s="23">
        <f t="shared" si="20"/>
        <v>28795277</v>
      </c>
    </row>
    <row r="129" spans="1:15" ht="18.600000000000001" thickBot="1" x14ac:dyDescent="0.5">
      <c r="A129" s="133" t="s">
        <v>5</v>
      </c>
      <c r="B129" s="133"/>
      <c r="C129" s="133"/>
      <c r="D129" s="133"/>
      <c r="E129" s="11" t="s">
        <v>0</v>
      </c>
      <c r="F129" s="3"/>
      <c r="G129" s="36" t="s">
        <v>464</v>
      </c>
      <c r="H129" s="37">
        <f t="shared" ref="H129:H134" si="65">H108</f>
        <v>3980</v>
      </c>
      <c r="I129" t="s">
        <v>465</v>
      </c>
      <c r="J129">
        <v>127</v>
      </c>
      <c r="K129" s="24" t="s">
        <v>170</v>
      </c>
      <c r="L129" s="23">
        <f t="shared" si="19"/>
        <v>105974</v>
      </c>
      <c r="M129" s="23">
        <f t="shared" si="17"/>
        <v>90377</v>
      </c>
      <c r="N129" s="23">
        <f t="shared" si="21"/>
        <v>15597</v>
      </c>
      <c r="O129" s="23">
        <f t="shared" si="20"/>
        <v>28704900</v>
      </c>
    </row>
    <row r="130" spans="1:15" ht="18.600000000000001" thickBot="1" x14ac:dyDescent="0.5">
      <c r="A130" s="85"/>
      <c r="B130" s="87"/>
      <c r="C130" s="127" t="s">
        <v>3</v>
      </c>
      <c r="D130" s="128"/>
      <c r="E130" s="29">
        <f t="shared" ref="E130" si="66">IF(H132="",0,H132)</f>
        <v>0</v>
      </c>
      <c r="F130" s="3"/>
      <c r="G130" s="25" t="s">
        <v>466</v>
      </c>
      <c r="H130" s="43">
        <f t="shared" si="65"/>
        <v>0.65</v>
      </c>
      <c r="I130" t="s">
        <v>469</v>
      </c>
      <c r="J130">
        <v>128</v>
      </c>
      <c r="K130" s="24" t="s">
        <v>171</v>
      </c>
      <c r="L130" s="23">
        <f t="shared" si="19"/>
        <v>105974</v>
      </c>
      <c r="M130" s="23">
        <f t="shared" si="17"/>
        <v>90426</v>
      </c>
      <c r="N130" s="23">
        <f t="shared" si="21"/>
        <v>15548</v>
      </c>
      <c r="O130" s="23">
        <f t="shared" si="20"/>
        <v>28614474</v>
      </c>
    </row>
    <row r="131" spans="1:15" ht="18.600000000000001" thickBot="1" x14ac:dyDescent="0.5">
      <c r="A131" s="86"/>
      <c r="B131" s="88"/>
      <c r="C131" s="127" t="s">
        <v>6</v>
      </c>
      <c r="D131" s="128"/>
      <c r="E131" s="19">
        <f>IF(H135="",$H$7*0.06,H135)</f>
        <v>238.79999999999998</v>
      </c>
      <c r="F131" s="3"/>
      <c r="G131" s="25" t="s">
        <v>467</v>
      </c>
      <c r="H131" s="37">
        <f t="shared" si="65"/>
        <v>35</v>
      </c>
      <c r="I131" t="s">
        <v>468</v>
      </c>
      <c r="J131">
        <v>129</v>
      </c>
      <c r="K131" s="24" t="s">
        <v>172</v>
      </c>
      <c r="L131" s="23">
        <f t="shared" si="19"/>
        <v>105974</v>
      </c>
      <c r="M131" s="23">
        <f t="shared" si="17"/>
        <v>90475</v>
      </c>
      <c r="N131" s="23">
        <f t="shared" si="21"/>
        <v>15499</v>
      </c>
      <c r="O131" s="23">
        <f t="shared" si="20"/>
        <v>28523999</v>
      </c>
    </row>
    <row r="132" spans="1:15" ht="18.600000000000001" thickBot="1" x14ac:dyDescent="0.5">
      <c r="A132" s="86"/>
      <c r="B132" s="91" t="s">
        <v>7</v>
      </c>
      <c r="C132" s="92"/>
      <c r="D132" s="92"/>
      <c r="E132" s="19">
        <f t="shared" ref="E132" si="67">SUM(E130:E131)</f>
        <v>238.79999999999998</v>
      </c>
      <c r="F132" s="3"/>
      <c r="G132" s="28" t="s">
        <v>3</v>
      </c>
      <c r="H132" s="37">
        <f t="shared" si="65"/>
        <v>0</v>
      </c>
      <c r="I132" t="s">
        <v>465</v>
      </c>
      <c r="J132">
        <v>130</v>
      </c>
      <c r="K132" s="24" t="s">
        <v>173</v>
      </c>
      <c r="L132" s="23">
        <f t="shared" si="19"/>
        <v>105974</v>
      </c>
      <c r="M132" s="23">
        <f t="shared" ref="M132:M195" si="68">IF(L132&lt;=0,0,L132-N132)</f>
        <v>90524</v>
      </c>
      <c r="N132" s="23">
        <f t="shared" si="21"/>
        <v>15450</v>
      </c>
      <c r="O132" s="23">
        <f t="shared" si="20"/>
        <v>28433475</v>
      </c>
    </row>
    <row r="133" spans="1:15" ht="18.600000000000001" thickBot="1" x14ac:dyDescent="0.5">
      <c r="A133" s="86"/>
      <c r="B133" s="7"/>
      <c r="C133" s="5" t="s">
        <v>8</v>
      </c>
      <c r="D133" s="5"/>
      <c r="E133" s="49">
        <f>_xlfn.SWITCH(H128,1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890.1816</v>
      </c>
      <c r="F133" s="3"/>
      <c r="G133" s="28" t="s">
        <v>16</v>
      </c>
      <c r="H133" s="37">
        <f>真実の家賃!$I$8*AD9</f>
        <v>3343.2000000000012</v>
      </c>
      <c r="I133" t="s">
        <v>465</v>
      </c>
      <c r="J133">
        <v>131</v>
      </c>
      <c r="K133" s="24" t="s">
        <v>174</v>
      </c>
      <c r="L133" s="23">
        <f t="shared" ref="L133:L196" si="69">IF(N133&lt;=0,0,L132)</f>
        <v>105974</v>
      </c>
      <c r="M133" s="23">
        <f t="shared" si="68"/>
        <v>90573</v>
      </c>
      <c r="N133" s="23">
        <f t="shared" si="21"/>
        <v>15401</v>
      </c>
      <c r="O133" s="23">
        <f t="shared" ref="O133:O196" si="70">IF(L133&lt;=0,0,(O132-M133))</f>
        <v>28342902</v>
      </c>
    </row>
    <row r="134" spans="1:15" ht="18.600000000000001" thickBot="1" x14ac:dyDescent="0.5">
      <c r="A134" s="86"/>
      <c r="B134" s="8"/>
      <c r="C134" s="127" t="s">
        <v>2</v>
      </c>
      <c r="D134" s="128"/>
      <c r="E134" s="19">
        <f t="shared" ref="E134" si="71">IF(H136="",H128*15,H136)</f>
        <v>105</v>
      </c>
      <c r="F134" s="3"/>
      <c r="G134" s="56" t="s">
        <v>573</v>
      </c>
      <c r="H134" s="40" t="str">
        <f t="shared" si="65"/>
        <v/>
      </c>
      <c r="I134" t="s">
        <v>465</v>
      </c>
      <c r="J134">
        <v>132</v>
      </c>
      <c r="K134" s="24" t="s">
        <v>175</v>
      </c>
      <c r="L134" s="23">
        <f t="shared" si="69"/>
        <v>105974</v>
      </c>
      <c r="M134" s="23">
        <f t="shared" si="68"/>
        <v>90622</v>
      </c>
      <c r="N134" s="23">
        <f t="shared" ref="N134:N197" si="72">IF(O133&lt;=0,0,INT(O133*($H$4/100)/12))</f>
        <v>15352</v>
      </c>
      <c r="O134" s="23">
        <f t="shared" si="70"/>
        <v>28252280</v>
      </c>
    </row>
    <row r="135" spans="1:15" ht="18.600000000000001" thickBot="1" x14ac:dyDescent="0.5">
      <c r="A135" s="86"/>
      <c r="B135" s="8"/>
      <c r="C135" s="129" t="s">
        <v>9</v>
      </c>
      <c r="D135" s="129"/>
      <c r="E135" s="19">
        <f t="shared" ref="E135" si="73">_xlfn.SWITCH(H128,1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-174.84426819999999</v>
      </c>
      <c r="F135" s="3"/>
      <c r="G135" s="34" t="s">
        <v>6</v>
      </c>
      <c r="H135" s="40" t="str">
        <f t="shared" si="35"/>
        <v/>
      </c>
      <c r="I135" t="s">
        <v>465</v>
      </c>
      <c r="J135">
        <v>133</v>
      </c>
      <c r="K135" s="24" t="s">
        <v>176</v>
      </c>
      <c r="L135" s="23">
        <f t="shared" si="69"/>
        <v>105974</v>
      </c>
      <c r="M135" s="23">
        <f t="shared" si="68"/>
        <v>90671</v>
      </c>
      <c r="N135" s="23">
        <f t="shared" si="72"/>
        <v>15303</v>
      </c>
      <c r="O135" s="23">
        <f t="shared" si="70"/>
        <v>28161609</v>
      </c>
    </row>
    <row r="136" spans="1:15" ht="18.600000000000001" thickBot="1" x14ac:dyDescent="0.5">
      <c r="A136" s="86"/>
      <c r="B136" s="8"/>
      <c r="C136" s="130" t="s">
        <v>10</v>
      </c>
      <c r="D136" s="131"/>
      <c r="E136" s="19">
        <f t="shared" ref="E136" si="74">IF(H134="",$AA$3,H128*H134)</f>
        <v>0</v>
      </c>
      <c r="F136" s="3"/>
      <c r="G136" s="28" t="s">
        <v>560</v>
      </c>
      <c r="H136" s="40" t="str">
        <f t="shared" si="35"/>
        <v/>
      </c>
      <c r="I136" t="s">
        <v>465</v>
      </c>
      <c r="J136">
        <v>134</v>
      </c>
      <c r="K136" s="24" t="s">
        <v>177</v>
      </c>
      <c r="L136" s="23">
        <f t="shared" si="69"/>
        <v>105974</v>
      </c>
      <c r="M136" s="23">
        <f t="shared" si="68"/>
        <v>90720</v>
      </c>
      <c r="N136" s="23">
        <f t="shared" si="72"/>
        <v>15254</v>
      </c>
      <c r="O136" s="23">
        <f t="shared" si="70"/>
        <v>28070889</v>
      </c>
    </row>
    <row r="137" spans="1:15" ht="18.600000000000001" thickBot="1" x14ac:dyDescent="0.5">
      <c r="A137" s="86"/>
      <c r="B137" s="132" t="s">
        <v>11</v>
      </c>
      <c r="C137" s="126"/>
      <c r="D137" s="126"/>
      <c r="E137" s="19">
        <f t="shared" ref="E137" si="75">SUM(E133:E136)</f>
        <v>820.33733180000002</v>
      </c>
      <c r="F137" s="3"/>
      <c r="G137" s="33" t="s">
        <v>561</v>
      </c>
      <c r="H137" s="41" t="str">
        <f t="shared" si="35"/>
        <v/>
      </c>
      <c r="I137" t="s">
        <v>465</v>
      </c>
      <c r="J137">
        <v>135</v>
      </c>
      <c r="K137" s="24" t="s">
        <v>178</v>
      </c>
      <c r="L137" s="23">
        <f t="shared" si="69"/>
        <v>105974</v>
      </c>
      <c r="M137" s="23">
        <f t="shared" si="68"/>
        <v>90769</v>
      </c>
      <c r="N137" s="23">
        <f t="shared" si="72"/>
        <v>15205</v>
      </c>
      <c r="O137" s="23">
        <f t="shared" si="70"/>
        <v>27980120</v>
      </c>
    </row>
    <row r="138" spans="1:15" ht="18.600000000000001" thickBot="1" x14ac:dyDescent="0.5">
      <c r="A138" s="86"/>
      <c r="B138" s="7"/>
      <c r="C138" s="127" t="s">
        <v>12</v>
      </c>
      <c r="D138" s="128"/>
      <c r="E138" s="19">
        <f t="shared" ref="E138" si="76">_xlfn.SWITCH(H128,1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3254.7255</v>
      </c>
      <c r="F138" s="3"/>
      <c r="G138" s="32"/>
      <c r="J138">
        <v>136</v>
      </c>
      <c r="K138" s="24" t="s">
        <v>179</v>
      </c>
      <c r="L138" s="23">
        <f t="shared" si="69"/>
        <v>105974</v>
      </c>
      <c r="M138" s="23">
        <f t="shared" si="68"/>
        <v>90819</v>
      </c>
      <c r="N138" s="23">
        <f t="shared" si="72"/>
        <v>15155</v>
      </c>
      <c r="O138" s="23">
        <f t="shared" si="70"/>
        <v>27889301</v>
      </c>
    </row>
    <row r="139" spans="1:15" ht="18.600000000000001" thickBot="1" x14ac:dyDescent="0.5">
      <c r="A139" s="86"/>
      <c r="B139" s="8"/>
      <c r="C139" s="127" t="s">
        <v>13</v>
      </c>
      <c r="D139" s="128"/>
      <c r="E139" s="19">
        <f t="shared" ref="E139" si="77">IF(H137="",H133*0.05,H137)</f>
        <v>167.16000000000008</v>
      </c>
      <c r="F139" s="3"/>
      <c r="G139" s="30"/>
      <c r="J139">
        <v>137</v>
      </c>
      <c r="K139" s="24" t="s">
        <v>180</v>
      </c>
      <c r="L139" s="23">
        <f t="shared" si="69"/>
        <v>105974</v>
      </c>
      <c r="M139" s="23">
        <f t="shared" si="68"/>
        <v>90868</v>
      </c>
      <c r="N139" s="23">
        <f t="shared" si="72"/>
        <v>15106</v>
      </c>
      <c r="O139" s="23">
        <f t="shared" si="70"/>
        <v>27798433</v>
      </c>
    </row>
    <row r="140" spans="1:15" ht="18.600000000000001" thickBot="1" x14ac:dyDescent="0.5">
      <c r="A140" s="86"/>
      <c r="B140" s="132" t="s">
        <v>14</v>
      </c>
      <c r="C140" s="126"/>
      <c r="D140" s="126"/>
      <c r="E140" s="19">
        <f t="shared" ref="E140" si="78">SUM(E138:E139)</f>
        <v>3421.8855000000003</v>
      </c>
      <c r="F140" s="3"/>
      <c r="G140" s="30"/>
      <c r="J140">
        <v>138</v>
      </c>
      <c r="K140" s="24" t="s">
        <v>181</v>
      </c>
      <c r="L140" s="23">
        <f t="shared" si="69"/>
        <v>105974</v>
      </c>
      <c r="M140" s="23">
        <f t="shared" si="68"/>
        <v>90917</v>
      </c>
      <c r="N140" s="23">
        <f t="shared" si="72"/>
        <v>15057</v>
      </c>
      <c r="O140" s="23">
        <f t="shared" si="70"/>
        <v>27707516</v>
      </c>
    </row>
    <row r="141" spans="1:15" ht="18.600000000000001" thickBot="1" x14ac:dyDescent="0.5">
      <c r="A141" s="97" t="s">
        <v>15</v>
      </c>
      <c r="B141" s="98"/>
      <c r="C141" s="98"/>
      <c r="D141" s="99"/>
      <c r="E141" s="20">
        <f t="shared" ref="E141" si="79">E132+E137+E140</f>
        <v>4481.0228318000009</v>
      </c>
      <c r="F141" s="3"/>
      <c r="G141" s="30"/>
      <c r="J141">
        <v>139</v>
      </c>
      <c r="K141" s="24" t="s">
        <v>182</v>
      </c>
      <c r="L141" s="23">
        <f t="shared" si="69"/>
        <v>105974</v>
      </c>
      <c r="M141" s="23">
        <f t="shared" si="68"/>
        <v>90966</v>
      </c>
      <c r="N141" s="23">
        <f t="shared" si="72"/>
        <v>15008</v>
      </c>
      <c r="O141" s="23">
        <f t="shared" si="70"/>
        <v>27616550</v>
      </c>
    </row>
    <row r="142" spans="1:15" ht="18.600000000000001" thickBot="1" x14ac:dyDescent="0.5">
      <c r="A142" s="6"/>
      <c r="B142" s="126" t="s">
        <v>16</v>
      </c>
      <c r="C142" s="126"/>
      <c r="D142" s="126"/>
      <c r="E142" s="19">
        <f t="shared" ref="E142" si="80">H133</f>
        <v>3343.2000000000012</v>
      </c>
      <c r="F142" s="3"/>
      <c r="J142">
        <v>140</v>
      </c>
      <c r="K142" s="24" t="s">
        <v>183</v>
      </c>
      <c r="L142" s="23">
        <f t="shared" si="69"/>
        <v>105974</v>
      </c>
      <c r="M142" s="23">
        <f t="shared" si="68"/>
        <v>91016</v>
      </c>
      <c r="N142" s="23">
        <f t="shared" si="72"/>
        <v>14958</v>
      </c>
      <c r="O142" s="23">
        <f t="shared" si="70"/>
        <v>27525534</v>
      </c>
    </row>
    <row r="143" spans="1:15" ht="18.600000000000001" thickBot="1" x14ac:dyDescent="0.5">
      <c r="A143" s="97" t="s">
        <v>17</v>
      </c>
      <c r="B143" s="98"/>
      <c r="C143" s="98"/>
      <c r="D143" s="99"/>
      <c r="E143" s="20">
        <f t="shared" ref="E143" si="81">E142</f>
        <v>3343.2000000000012</v>
      </c>
      <c r="F143" s="3"/>
      <c r="J143">
        <v>141</v>
      </c>
      <c r="K143" s="24" t="s">
        <v>184</v>
      </c>
      <c r="L143" s="23">
        <f t="shared" si="69"/>
        <v>105974</v>
      </c>
      <c r="M143" s="23">
        <f t="shared" si="68"/>
        <v>91065</v>
      </c>
      <c r="N143" s="23">
        <f t="shared" si="72"/>
        <v>14909</v>
      </c>
      <c r="O143" s="23">
        <f t="shared" si="70"/>
        <v>27434469</v>
      </c>
    </row>
    <row r="144" spans="1:15" ht="18.600000000000001" thickBot="1" x14ac:dyDescent="0.5">
      <c r="A144" s="96" t="s">
        <v>18</v>
      </c>
      <c r="B144" s="96"/>
      <c r="C144" s="96"/>
      <c r="D144" s="96"/>
      <c r="E144" s="14">
        <f t="shared" ref="E144" si="82">12*H128</f>
        <v>84</v>
      </c>
      <c r="F144" s="3"/>
      <c r="J144">
        <v>142</v>
      </c>
      <c r="K144" s="24" t="s">
        <v>185</v>
      </c>
      <c r="L144" s="23">
        <f t="shared" si="69"/>
        <v>105974</v>
      </c>
      <c r="M144" s="23">
        <f t="shared" si="68"/>
        <v>91114</v>
      </c>
      <c r="N144" s="23">
        <f t="shared" si="72"/>
        <v>14860</v>
      </c>
      <c r="O144" s="23">
        <f t="shared" si="70"/>
        <v>27343355</v>
      </c>
    </row>
    <row r="145" spans="1:15" ht="18.600000000000001" thickBot="1" x14ac:dyDescent="0.5">
      <c r="A145" s="3"/>
      <c r="B145" s="3"/>
      <c r="C145" s="3"/>
      <c r="D145" s="3"/>
      <c r="E145" s="3"/>
      <c r="F145" s="3"/>
      <c r="J145">
        <v>143</v>
      </c>
      <c r="K145" s="24" t="s">
        <v>186</v>
      </c>
      <c r="L145" s="23">
        <f t="shared" si="69"/>
        <v>105974</v>
      </c>
      <c r="M145" s="23">
        <f t="shared" si="68"/>
        <v>91164</v>
      </c>
      <c r="N145" s="23">
        <f t="shared" si="72"/>
        <v>14810</v>
      </c>
      <c r="O145" s="23">
        <f t="shared" si="70"/>
        <v>27252191</v>
      </c>
    </row>
    <row r="146" spans="1:15" ht="18.600000000000001" thickBot="1" x14ac:dyDescent="0.5">
      <c r="A146" s="12" t="s">
        <v>19</v>
      </c>
      <c r="B146" s="12"/>
      <c r="C146" s="12"/>
      <c r="D146" s="12"/>
      <c r="E146" s="15">
        <f t="shared" ref="E146" si="83">-((E143-E141)/E144)</f>
        <v>13.545509902380948</v>
      </c>
      <c r="F146" s="3" t="s">
        <v>20</v>
      </c>
      <c r="J146">
        <v>144</v>
      </c>
      <c r="K146" s="24" t="s">
        <v>187</v>
      </c>
      <c r="L146" s="23">
        <f t="shared" si="69"/>
        <v>105974</v>
      </c>
      <c r="M146" s="23">
        <f t="shared" si="68"/>
        <v>91213</v>
      </c>
      <c r="N146" s="23">
        <f t="shared" si="72"/>
        <v>14761</v>
      </c>
      <c r="O146" s="23">
        <f t="shared" si="70"/>
        <v>27160978</v>
      </c>
    </row>
    <row r="147" spans="1:15" x14ac:dyDescent="0.45">
      <c r="A147" s="3"/>
      <c r="B147" s="3"/>
      <c r="C147" s="3"/>
      <c r="D147" s="3"/>
      <c r="E147" s="3"/>
      <c r="F147" s="3"/>
      <c r="J147">
        <v>145</v>
      </c>
      <c r="K147" s="24" t="s">
        <v>188</v>
      </c>
      <c r="L147" s="23">
        <f t="shared" si="69"/>
        <v>105974</v>
      </c>
      <c r="M147" s="23">
        <f t="shared" si="68"/>
        <v>91262</v>
      </c>
      <c r="N147" s="23">
        <f t="shared" si="72"/>
        <v>14712</v>
      </c>
      <c r="O147" s="23">
        <f t="shared" si="70"/>
        <v>27069716</v>
      </c>
    </row>
    <row r="148" spans="1:15" ht="18.600000000000001" thickBot="1" x14ac:dyDescent="0.5">
      <c r="A148" s="3"/>
      <c r="B148" s="3"/>
      <c r="D148" s="3"/>
      <c r="E148" s="3"/>
      <c r="F148" s="3"/>
      <c r="J148">
        <v>146</v>
      </c>
      <c r="K148" s="24" t="s">
        <v>189</v>
      </c>
      <c r="L148" s="23">
        <f t="shared" si="69"/>
        <v>105974</v>
      </c>
      <c r="M148" s="23">
        <f t="shared" si="68"/>
        <v>91312</v>
      </c>
      <c r="N148" s="23">
        <f t="shared" si="72"/>
        <v>14662</v>
      </c>
      <c r="O148" s="23">
        <f t="shared" si="70"/>
        <v>26978404</v>
      </c>
    </row>
    <row r="149" spans="1:15" ht="18.600000000000001" thickBot="1" x14ac:dyDescent="0.5">
      <c r="A149" s="10" t="s">
        <v>4</v>
      </c>
      <c r="B149" s="3"/>
      <c r="C149" s="3"/>
      <c r="D149" s="3"/>
      <c r="E149" s="4" t="s">
        <v>1</v>
      </c>
      <c r="F149" s="4"/>
      <c r="G149" s="38" t="s">
        <v>508</v>
      </c>
      <c r="H149" s="42">
        <f t="shared" ref="H149" si="84">H128+1</f>
        <v>8</v>
      </c>
      <c r="I149" t="s">
        <v>509</v>
      </c>
      <c r="J149">
        <v>147</v>
      </c>
      <c r="K149" s="24" t="s">
        <v>190</v>
      </c>
      <c r="L149" s="23">
        <f t="shared" si="69"/>
        <v>105974</v>
      </c>
      <c r="M149" s="23">
        <f t="shared" si="68"/>
        <v>91361</v>
      </c>
      <c r="N149" s="23">
        <f t="shared" si="72"/>
        <v>14613</v>
      </c>
      <c r="O149" s="23">
        <f t="shared" si="70"/>
        <v>26887043</v>
      </c>
    </row>
    <row r="150" spans="1:15" ht="18.600000000000001" thickBot="1" x14ac:dyDescent="0.5">
      <c r="A150" s="133" t="s">
        <v>5</v>
      </c>
      <c r="B150" s="133"/>
      <c r="C150" s="133"/>
      <c r="D150" s="133"/>
      <c r="E150" s="11" t="s">
        <v>0</v>
      </c>
      <c r="F150" s="3"/>
      <c r="G150" s="36" t="s">
        <v>464</v>
      </c>
      <c r="H150" s="37">
        <f t="shared" ref="H150:H200" si="85">H129</f>
        <v>3980</v>
      </c>
      <c r="I150" t="s">
        <v>465</v>
      </c>
      <c r="J150">
        <v>148</v>
      </c>
      <c r="K150" s="24" t="s">
        <v>191</v>
      </c>
      <c r="L150" s="23">
        <f t="shared" si="69"/>
        <v>105974</v>
      </c>
      <c r="M150" s="23">
        <f t="shared" si="68"/>
        <v>91411</v>
      </c>
      <c r="N150" s="23">
        <f t="shared" si="72"/>
        <v>14563</v>
      </c>
      <c r="O150" s="23">
        <f t="shared" si="70"/>
        <v>26795632</v>
      </c>
    </row>
    <row r="151" spans="1:15" ht="18.600000000000001" thickBot="1" x14ac:dyDescent="0.5">
      <c r="A151" s="85"/>
      <c r="B151" s="87"/>
      <c r="C151" s="127" t="s">
        <v>3</v>
      </c>
      <c r="D151" s="128"/>
      <c r="E151" s="29">
        <f t="shared" ref="E151" si="86">IF(H153="",0,H153)</f>
        <v>0</v>
      </c>
      <c r="F151" s="3"/>
      <c r="G151" s="25" t="s">
        <v>466</v>
      </c>
      <c r="H151" s="43">
        <f t="shared" si="85"/>
        <v>0.65</v>
      </c>
      <c r="I151" t="s">
        <v>469</v>
      </c>
      <c r="J151">
        <v>149</v>
      </c>
      <c r="K151" s="24" t="s">
        <v>192</v>
      </c>
      <c r="L151" s="23">
        <f t="shared" si="69"/>
        <v>105974</v>
      </c>
      <c r="M151" s="23">
        <f t="shared" si="68"/>
        <v>91460</v>
      </c>
      <c r="N151" s="23">
        <f t="shared" si="72"/>
        <v>14514</v>
      </c>
      <c r="O151" s="23">
        <f t="shared" si="70"/>
        <v>26704172</v>
      </c>
    </row>
    <row r="152" spans="1:15" ht="18.600000000000001" thickBot="1" x14ac:dyDescent="0.5">
      <c r="A152" s="86"/>
      <c r="B152" s="88"/>
      <c r="C152" s="127" t="s">
        <v>6</v>
      </c>
      <c r="D152" s="128"/>
      <c r="E152" s="19">
        <f>IF(H156="",$H$7*0.06,H156)</f>
        <v>238.79999999999998</v>
      </c>
      <c r="F152" s="3"/>
      <c r="G152" s="25" t="s">
        <v>467</v>
      </c>
      <c r="H152" s="37">
        <f t="shared" si="85"/>
        <v>35</v>
      </c>
      <c r="I152" t="s">
        <v>468</v>
      </c>
      <c r="J152">
        <v>150</v>
      </c>
      <c r="K152" s="24" t="s">
        <v>193</v>
      </c>
      <c r="L152" s="23">
        <f t="shared" si="69"/>
        <v>105974</v>
      </c>
      <c r="M152" s="23">
        <f t="shared" si="68"/>
        <v>91510</v>
      </c>
      <c r="N152" s="23">
        <f t="shared" si="72"/>
        <v>14464</v>
      </c>
      <c r="O152" s="23">
        <f t="shared" si="70"/>
        <v>26612662</v>
      </c>
    </row>
    <row r="153" spans="1:15" ht="18.600000000000001" thickBot="1" x14ac:dyDescent="0.5">
      <c r="A153" s="86"/>
      <c r="B153" s="91" t="s">
        <v>7</v>
      </c>
      <c r="C153" s="92"/>
      <c r="D153" s="92"/>
      <c r="E153" s="19">
        <f t="shared" ref="E153" si="87">SUM(E151:E152)</f>
        <v>238.79999999999998</v>
      </c>
      <c r="F153" s="3"/>
      <c r="G153" s="28" t="s">
        <v>3</v>
      </c>
      <c r="H153" s="37">
        <f t="shared" si="85"/>
        <v>0</v>
      </c>
      <c r="I153" t="s">
        <v>465</v>
      </c>
      <c r="J153">
        <v>151</v>
      </c>
      <c r="K153" s="24" t="s">
        <v>194</v>
      </c>
      <c r="L153" s="23">
        <f t="shared" si="69"/>
        <v>105974</v>
      </c>
      <c r="M153" s="23">
        <f t="shared" si="68"/>
        <v>91559</v>
      </c>
      <c r="N153" s="23">
        <f t="shared" si="72"/>
        <v>14415</v>
      </c>
      <c r="O153" s="23">
        <f t="shared" si="70"/>
        <v>26521103</v>
      </c>
    </row>
    <row r="154" spans="1:15" ht="18.600000000000001" thickBot="1" x14ac:dyDescent="0.5">
      <c r="A154" s="86"/>
      <c r="B154" s="7"/>
      <c r="C154" s="5" t="s">
        <v>8</v>
      </c>
      <c r="D154" s="5"/>
      <c r="E154" s="49">
        <f>_xlfn.SWITCH(H149,1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1017.3504</v>
      </c>
      <c r="F154" s="3"/>
      <c r="G154" s="28" t="s">
        <v>16</v>
      </c>
      <c r="H154" s="37">
        <f>真実の家賃!$I$8*AD10</f>
        <v>3237.066666666668</v>
      </c>
      <c r="I154" t="s">
        <v>465</v>
      </c>
      <c r="J154">
        <v>152</v>
      </c>
      <c r="K154" s="24" t="s">
        <v>195</v>
      </c>
      <c r="L154" s="23">
        <f t="shared" si="69"/>
        <v>105974</v>
      </c>
      <c r="M154" s="23">
        <f t="shared" si="68"/>
        <v>91609</v>
      </c>
      <c r="N154" s="23">
        <f t="shared" si="72"/>
        <v>14365</v>
      </c>
      <c r="O154" s="23">
        <f t="shared" si="70"/>
        <v>26429494</v>
      </c>
    </row>
    <row r="155" spans="1:15" ht="18.600000000000001" thickBot="1" x14ac:dyDescent="0.5">
      <c r="A155" s="86"/>
      <c r="B155" s="8"/>
      <c r="C155" s="127" t="s">
        <v>2</v>
      </c>
      <c r="D155" s="128"/>
      <c r="E155" s="19">
        <f t="shared" ref="E155" si="88">IF(H157="",H149*15,H157)</f>
        <v>120</v>
      </c>
      <c r="F155" s="3"/>
      <c r="G155" s="56" t="s">
        <v>573</v>
      </c>
      <c r="H155" s="40" t="str">
        <f t="shared" si="85"/>
        <v/>
      </c>
      <c r="I155" t="s">
        <v>465</v>
      </c>
      <c r="J155">
        <v>153</v>
      </c>
      <c r="K155" s="24" t="s">
        <v>196</v>
      </c>
      <c r="L155" s="23">
        <f t="shared" si="69"/>
        <v>105974</v>
      </c>
      <c r="M155" s="23">
        <f t="shared" si="68"/>
        <v>91659</v>
      </c>
      <c r="N155" s="23">
        <f t="shared" si="72"/>
        <v>14315</v>
      </c>
      <c r="O155" s="23">
        <f t="shared" si="70"/>
        <v>26337835</v>
      </c>
    </row>
    <row r="156" spans="1:15" ht="18.600000000000001" thickBot="1" x14ac:dyDescent="0.5">
      <c r="A156" s="86"/>
      <c r="B156" s="8"/>
      <c r="C156" s="129" t="s">
        <v>9</v>
      </c>
      <c r="D156" s="129"/>
      <c r="E156" s="19">
        <f t="shared" ref="E156" si="89">_xlfn.SWITCH(H149,1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-196.88303739999998</v>
      </c>
      <c r="F156" s="3"/>
      <c r="G156" s="34" t="s">
        <v>6</v>
      </c>
      <c r="H156" s="40" t="str">
        <f t="shared" si="85"/>
        <v/>
      </c>
      <c r="I156" t="s">
        <v>465</v>
      </c>
      <c r="J156">
        <v>154</v>
      </c>
      <c r="K156" s="24" t="s">
        <v>197</v>
      </c>
      <c r="L156" s="23">
        <f t="shared" si="69"/>
        <v>105974</v>
      </c>
      <c r="M156" s="23">
        <f t="shared" si="68"/>
        <v>91708</v>
      </c>
      <c r="N156" s="23">
        <f t="shared" si="72"/>
        <v>14266</v>
      </c>
      <c r="O156" s="23">
        <f t="shared" si="70"/>
        <v>26246127</v>
      </c>
    </row>
    <row r="157" spans="1:15" ht="18.600000000000001" thickBot="1" x14ac:dyDescent="0.5">
      <c r="A157" s="86"/>
      <c r="B157" s="8"/>
      <c r="C157" s="130" t="s">
        <v>10</v>
      </c>
      <c r="D157" s="131"/>
      <c r="E157" s="19">
        <f t="shared" ref="E157" si="90">IF(H155="",$AA$3,H149*H155)</f>
        <v>0</v>
      </c>
      <c r="F157" s="3"/>
      <c r="G157" s="28" t="s">
        <v>560</v>
      </c>
      <c r="H157" s="40" t="str">
        <f t="shared" si="85"/>
        <v/>
      </c>
      <c r="I157" t="s">
        <v>465</v>
      </c>
      <c r="J157">
        <v>155</v>
      </c>
      <c r="K157" s="24" t="s">
        <v>198</v>
      </c>
      <c r="L157" s="23">
        <f t="shared" si="69"/>
        <v>105974</v>
      </c>
      <c r="M157" s="23">
        <f t="shared" si="68"/>
        <v>91758</v>
      </c>
      <c r="N157" s="23">
        <f t="shared" si="72"/>
        <v>14216</v>
      </c>
      <c r="O157" s="23">
        <f t="shared" si="70"/>
        <v>26154369</v>
      </c>
    </row>
    <row r="158" spans="1:15" ht="18.600000000000001" thickBot="1" x14ac:dyDescent="0.5">
      <c r="A158" s="86"/>
      <c r="B158" s="132" t="s">
        <v>11</v>
      </c>
      <c r="C158" s="126"/>
      <c r="D158" s="126"/>
      <c r="E158" s="19">
        <f t="shared" ref="E158" si="91">SUM(E154:E157)</f>
        <v>940.46736260000011</v>
      </c>
      <c r="F158" s="3"/>
      <c r="G158" s="33" t="s">
        <v>561</v>
      </c>
      <c r="H158" s="41" t="str">
        <f t="shared" si="85"/>
        <v/>
      </c>
      <c r="I158" t="s">
        <v>465</v>
      </c>
      <c r="J158">
        <v>156</v>
      </c>
      <c r="K158" s="24" t="s">
        <v>199</v>
      </c>
      <c r="L158" s="23">
        <f t="shared" si="69"/>
        <v>105974</v>
      </c>
      <c r="M158" s="23">
        <f t="shared" si="68"/>
        <v>91808</v>
      </c>
      <c r="N158" s="23">
        <f t="shared" si="72"/>
        <v>14166</v>
      </c>
      <c r="O158" s="23">
        <f t="shared" si="70"/>
        <v>26062561</v>
      </c>
    </row>
    <row r="159" spans="1:15" ht="18.600000000000001" thickBot="1" x14ac:dyDescent="0.5">
      <c r="A159" s="86"/>
      <c r="B159" s="7"/>
      <c r="C159" s="127" t="s">
        <v>12</v>
      </c>
      <c r="D159" s="128"/>
      <c r="E159" s="19">
        <f t="shared" ref="E159" si="92">_xlfn.SWITCH(H149,1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3148.3955999999998</v>
      </c>
      <c r="F159" s="3"/>
      <c r="G159" s="32"/>
      <c r="J159">
        <v>157</v>
      </c>
      <c r="K159" s="24" t="s">
        <v>200</v>
      </c>
      <c r="L159" s="23">
        <f t="shared" si="69"/>
        <v>105974</v>
      </c>
      <c r="M159" s="23">
        <f t="shared" si="68"/>
        <v>91857</v>
      </c>
      <c r="N159" s="23">
        <f t="shared" si="72"/>
        <v>14117</v>
      </c>
      <c r="O159" s="23">
        <f t="shared" si="70"/>
        <v>25970704</v>
      </c>
    </row>
    <row r="160" spans="1:15" ht="18.600000000000001" thickBot="1" x14ac:dyDescent="0.5">
      <c r="A160" s="86"/>
      <c r="B160" s="8"/>
      <c r="C160" s="127" t="s">
        <v>13</v>
      </c>
      <c r="D160" s="128"/>
      <c r="E160" s="19">
        <f t="shared" ref="E160" si="93">IF(H158="",H154*0.05,H158)</f>
        <v>161.85333333333341</v>
      </c>
      <c r="F160" s="3"/>
      <c r="G160" s="30"/>
      <c r="J160">
        <v>158</v>
      </c>
      <c r="K160" s="24" t="s">
        <v>201</v>
      </c>
      <c r="L160" s="23">
        <f t="shared" si="69"/>
        <v>105974</v>
      </c>
      <c r="M160" s="23">
        <f t="shared" si="68"/>
        <v>91907</v>
      </c>
      <c r="N160" s="23">
        <f t="shared" si="72"/>
        <v>14067</v>
      </c>
      <c r="O160" s="23">
        <f t="shared" si="70"/>
        <v>25878797</v>
      </c>
    </row>
    <row r="161" spans="1:15" ht="18.600000000000001" thickBot="1" x14ac:dyDescent="0.5">
      <c r="A161" s="86"/>
      <c r="B161" s="132" t="s">
        <v>14</v>
      </c>
      <c r="C161" s="126"/>
      <c r="D161" s="126"/>
      <c r="E161" s="19">
        <f t="shared" ref="E161" si="94">SUM(E159:E160)</f>
        <v>3310.2489333333333</v>
      </c>
      <c r="F161" s="3"/>
      <c r="G161" s="30"/>
      <c r="J161">
        <v>159</v>
      </c>
      <c r="K161" s="24" t="s">
        <v>202</v>
      </c>
      <c r="L161" s="23">
        <f t="shared" si="69"/>
        <v>105974</v>
      </c>
      <c r="M161" s="23">
        <f t="shared" si="68"/>
        <v>91957</v>
      </c>
      <c r="N161" s="23">
        <f t="shared" si="72"/>
        <v>14017</v>
      </c>
      <c r="O161" s="23">
        <f t="shared" si="70"/>
        <v>25786840</v>
      </c>
    </row>
    <row r="162" spans="1:15" ht="18.600000000000001" thickBot="1" x14ac:dyDescent="0.5">
      <c r="A162" s="97" t="s">
        <v>15</v>
      </c>
      <c r="B162" s="98"/>
      <c r="C162" s="98"/>
      <c r="D162" s="99"/>
      <c r="E162" s="20">
        <f t="shared" ref="E162" si="95">E153+E158+E161</f>
        <v>4489.5162959333338</v>
      </c>
      <c r="F162" s="3"/>
      <c r="G162" s="30"/>
      <c r="J162">
        <v>160</v>
      </c>
      <c r="K162" s="24" t="s">
        <v>203</v>
      </c>
      <c r="L162" s="23">
        <f t="shared" si="69"/>
        <v>105974</v>
      </c>
      <c r="M162" s="23">
        <f t="shared" si="68"/>
        <v>92007</v>
      </c>
      <c r="N162" s="23">
        <f t="shared" si="72"/>
        <v>13967</v>
      </c>
      <c r="O162" s="23">
        <f t="shared" si="70"/>
        <v>25694833</v>
      </c>
    </row>
    <row r="163" spans="1:15" ht="18.600000000000001" thickBot="1" x14ac:dyDescent="0.5">
      <c r="A163" s="6"/>
      <c r="B163" s="126" t="s">
        <v>16</v>
      </c>
      <c r="C163" s="126"/>
      <c r="D163" s="126"/>
      <c r="E163" s="19">
        <f t="shared" ref="E163" si="96">H154</f>
        <v>3237.066666666668</v>
      </c>
      <c r="F163" s="3"/>
      <c r="J163">
        <v>161</v>
      </c>
      <c r="K163" s="24" t="s">
        <v>204</v>
      </c>
      <c r="L163" s="23">
        <f t="shared" si="69"/>
        <v>105974</v>
      </c>
      <c r="M163" s="23">
        <f t="shared" si="68"/>
        <v>92056</v>
      </c>
      <c r="N163" s="23">
        <f t="shared" si="72"/>
        <v>13918</v>
      </c>
      <c r="O163" s="23">
        <f t="shared" si="70"/>
        <v>25602777</v>
      </c>
    </row>
    <row r="164" spans="1:15" ht="18.600000000000001" thickBot="1" x14ac:dyDescent="0.5">
      <c r="A164" s="97" t="s">
        <v>17</v>
      </c>
      <c r="B164" s="98"/>
      <c r="C164" s="98"/>
      <c r="D164" s="99"/>
      <c r="E164" s="20">
        <f t="shared" ref="E164" si="97">E163</f>
        <v>3237.066666666668</v>
      </c>
      <c r="F164" s="3"/>
      <c r="J164">
        <v>162</v>
      </c>
      <c r="K164" s="24" t="s">
        <v>205</v>
      </c>
      <c r="L164" s="23">
        <f t="shared" si="69"/>
        <v>105974</v>
      </c>
      <c r="M164" s="23">
        <f t="shared" si="68"/>
        <v>92106</v>
      </c>
      <c r="N164" s="23">
        <f t="shared" si="72"/>
        <v>13868</v>
      </c>
      <c r="O164" s="23">
        <f t="shared" si="70"/>
        <v>25510671</v>
      </c>
    </row>
    <row r="165" spans="1:15" ht="18.600000000000001" thickBot="1" x14ac:dyDescent="0.5">
      <c r="A165" s="96" t="s">
        <v>18</v>
      </c>
      <c r="B165" s="96"/>
      <c r="C165" s="96"/>
      <c r="D165" s="96"/>
      <c r="E165" s="14">
        <f t="shared" ref="E165" si="98">12*H149</f>
        <v>96</v>
      </c>
      <c r="F165" s="3"/>
      <c r="J165">
        <v>163</v>
      </c>
      <c r="K165" s="24" t="s">
        <v>206</v>
      </c>
      <c r="L165" s="23">
        <f t="shared" si="69"/>
        <v>105974</v>
      </c>
      <c r="M165" s="23">
        <f t="shared" si="68"/>
        <v>92156</v>
      </c>
      <c r="N165" s="23">
        <f t="shared" si="72"/>
        <v>13818</v>
      </c>
      <c r="O165" s="23">
        <f t="shared" si="70"/>
        <v>25418515</v>
      </c>
    </row>
    <row r="166" spans="1:15" ht="18.600000000000001" thickBot="1" x14ac:dyDescent="0.5">
      <c r="A166" s="3"/>
      <c r="B166" s="3"/>
      <c r="C166" s="3"/>
      <c r="D166" s="3"/>
      <c r="E166" s="3"/>
      <c r="F166" s="3"/>
      <c r="J166">
        <v>164</v>
      </c>
      <c r="K166" s="24" t="s">
        <v>207</v>
      </c>
      <c r="L166" s="23">
        <f t="shared" si="69"/>
        <v>105974</v>
      </c>
      <c r="M166" s="23">
        <f t="shared" si="68"/>
        <v>92206</v>
      </c>
      <c r="N166" s="23">
        <f t="shared" si="72"/>
        <v>13768</v>
      </c>
      <c r="O166" s="23">
        <f t="shared" si="70"/>
        <v>25326309</v>
      </c>
    </row>
    <row r="167" spans="1:15" ht="18.600000000000001" thickBot="1" x14ac:dyDescent="0.5">
      <c r="A167" s="12" t="s">
        <v>19</v>
      </c>
      <c r="B167" s="12"/>
      <c r="C167" s="12"/>
      <c r="D167" s="12"/>
      <c r="E167" s="15">
        <f t="shared" ref="E167" si="99">-((E164-E162)/E165)</f>
        <v>13.046350304861102</v>
      </c>
      <c r="F167" s="3" t="s">
        <v>20</v>
      </c>
      <c r="J167">
        <v>165</v>
      </c>
      <c r="K167" s="24" t="s">
        <v>208</v>
      </c>
      <c r="L167" s="23">
        <f t="shared" si="69"/>
        <v>105974</v>
      </c>
      <c r="M167" s="23">
        <f t="shared" si="68"/>
        <v>92256</v>
      </c>
      <c r="N167" s="23">
        <f t="shared" si="72"/>
        <v>13718</v>
      </c>
      <c r="O167" s="23">
        <f t="shared" si="70"/>
        <v>25234053</v>
      </c>
    </row>
    <row r="168" spans="1:15" x14ac:dyDescent="0.45">
      <c r="A168" s="3"/>
      <c r="B168" s="3"/>
      <c r="C168" s="3"/>
      <c r="D168" s="3"/>
      <c r="E168" s="3"/>
      <c r="F168" s="3"/>
      <c r="J168">
        <v>166</v>
      </c>
      <c r="K168" s="24" t="s">
        <v>209</v>
      </c>
      <c r="L168" s="23">
        <f t="shared" si="69"/>
        <v>105974</v>
      </c>
      <c r="M168" s="23">
        <f t="shared" si="68"/>
        <v>92306</v>
      </c>
      <c r="N168" s="23">
        <f t="shared" si="72"/>
        <v>13668</v>
      </c>
      <c r="O168" s="23">
        <f t="shared" si="70"/>
        <v>25141747</v>
      </c>
    </row>
    <row r="169" spans="1:15" ht="18.600000000000001" thickBot="1" x14ac:dyDescent="0.5">
      <c r="A169" s="3"/>
      <c r="B169" s="3"/>
      <c r="D169" s="3"/>
      <c r="E169" s="3"/>
      <c r="F169" s="3"/>
      <c r="J169">
        <v>167</v>
      </c>
      <c r="K169" s="24" t="s">
        <v>210</v>
      </c>
      <c r="L169" s="23">
        <f t="shared" si="69"/>
        <v>105974</v>
      </c>
      <c r="M169" s="23">
        <f t="shared" si="68"/>
        <v>92356</v>
      </c>
      <c r="N169" s="23">
        <f t="shared" si="72"/>
        <v>13618</v>
      </c>
      <c r="O169" s="23">
        <f t="shared" si="70"/>
        <v>25049391</v>
      </c>
    </row>
    <row r="170" spans="1:15" ht="18.600000000000001" thickBot="1" x14ac:dyDescent="0.5">
      <c r="A170" s="10" t="s">
        <v>4</v>
      </c>
      <c r="B170" s="3"/>
      <c r="C170" s="3"/>
      <c r="D170" s="3"/>
      <c r="E170" s="4" t="s">
        <v>1</v>
      </c>
      <c r="F170" s="4"/>
      <c r="G170" s="38" t="s">
        <v>508</v>
      </c>
      <c r="H170" s="42">
        <f t="shared" ref="H170" si="100">H149+1</f>
        <v>9</v>
      </c>
      <c r="I170" t="s">
        <v>509</v>
      </c>
      <c r="J170">
        <v>168</v>
      </c>
      <c r="K170" s="24" t="s">
        <v>211</v>
      </c>
      <c r="L170" s="23">
        <f t="shared" si="69"/>
        <v>105974</v>
      </c>
      <c r="M170" s="23">
        <f t="shared" si="68"/>
        <v>92406</v>
      </c>
      <c r="N170" s="23">
        <f t="shared" si="72"/>
        <v>13568</v>
      </c>
      <c r="O170" s="23">
        <f t="shared" si="70"/>
        <v>24956985</v>
      </c>
    </row>
    <row r="171" spans="1:15" ht="18.600000000000001" thickBot="1" x14ac:dyDescent="0.5">
      <c r="A171" s="133" t="s">
        <v>5</v>
      </c>
      <c r="B171" s="133"/>
      <c r="C171" s="133"/>
      <c r="D171" s="133"/>
      <c r="E171" s="11" t="s">
        <v>0</v>
      </c>
      <c r="F171" s="3"/>
      <c r="G171" s="36" t="s">
        <v>464</v>
      </c>
      <c r="H171" s="37">
        <f t="shared" ref="H171:H221" si="101">H150</f>
        <v>3980</v>
      </c>
      <c r="I171" t="s">
        <v>465</v>
      </c>
      <c r="J171">
        <v>169</v>
      </c>
      <c r="K171" s="24" t="s">
        <v>212</v>
      </c>
      <c r="L171" s="23">
        <f t="shared" si="69"/>
        <v>105974</v>
      </c>
      <c r="M171" s="23">
        <f t="shared" si="68"/>
        <v>92456</v>
      </c>
      <c r="N171" s="23">
        <f t="shared" si="72"/>
        <v>13518</v>
      </c>
      <c r="O171" s="23">
        <f t="shared" si="70"/>
        <v>24864529</v>
      </c>
    </row>
    <row r="172" spans="1:15" ht="18.600000000000001" thickBot="1" x14ac:dyDescent="0.5">
      <c r="A172" s="85"/>
      <c r="B172" s="87"/>
      <c r="C172" s="127" t="s">
        <v>3</v>
      </c>
      <c r="D172" s="128"/>
      <c r="E172" s="29">
        <f t="shared" ref="E172" si="102">IF(H174="",0,H174)</f>
        <v>0</v>
      </c>
      <c r="F172" s="3"/>
      <c r="G172" s="25" t="s">
        <v>466</v>
      </c>
      <c r="H172" s="43">
        <f t="shared" si="101"/>
        <v>0.65</v>
      </c>
      <c r="I172" t="s">
        <v>469</v>
      </c>
      <c r="J172">
        <v>170</v>
      </c>
      <c r="K172" s="24" t="s">
        <v>213</v>
      </c>
      <c r="L172" s="23">
        <f t="shared" si="69"/>
        <v>105974</v>
      </c>
      <c r="M172" s="23">
        <f t="shared" si="68"/>
        <v>92506</v>
      </c>
      <c r="N172" s="23">
        <f t="shared" si="72"/>
        <v>13468</v>
      </c>
      <c r="O172" s="23">
        <f t="shared" si="70"/>
        <v>24772023</v>
      </c>
    </row>
    <row r="173" spans="1:15" ht="18.600000000000001" thickBot="1" x14ac:dyDescent="0.5">
      <c r="A173" s="86"/>
      <c r="B173" s="88"/>
      <c r="C173" s="127" t="s">
        <v>6</v>
      </c>
      <c r="D173" s="128"/>
      <c r="E173" s="19">
        <f>IF(H177="",$H$7*0.06,H177)</f>
        <v>238.79999999999998</v>
      </c>
      <c r="F173" s="3"/>
      <c r="G173" s="25" t="s">
        <v>467</v>
      </c>
      <c r="H173" s="37">
        <f t="shared" si="101"/>
        <v>35</v>
      </c>
      <c r="I173" t="s">
        <v>468</v>
      </c>
      <c r="J173">
        <v>171</v>
      </c>
      <c r="K173" s="24" t="s">
        <v>214</v>
      </c>
      <c r="L173" s="23">
        <f t="shared" si="69"/>
        <v>105974</v>
      </c>
      <c r="M173" s="23">
        <f t="shared" si="68"/>
        <v>92556</v>
      </c>
      <c r="N173" s="23">
        <f t="shared" si="72"/>
        <v>13418</v>
      </c>
      <c r="O173" s="23">
        <f t="shared" si="70"/>
        <v>24679467</v>
      </c>
    </row>
    <row r="174" spans="1:15" ht="18.600000000000001" thickBot="1" x14ac:dyDescent="0.5">
      <c r="A174" s="86"/>
      <c r="B174" s="91" t="s">
        <v>7</v>
      </c>
      <c r="C174" s="92"/>
      <c r="D174" s="92"/>
      <c r="E174" s="19">
        <f t="shared" ref="E174" si="103">SUM(E172:E173)</f>
        <v>238.79999999999998</v>
      </c>
      <c r="F174" s="3"/>
      <c r="G174" s="28" t="s">
        <v>3</v>
      </c>
      <c r="H174" s="37">
        <f t="shared" si="101"/>
        <v>0</v>
      </c>
      <c r="I174" t="s">
        <v>465</v>
      </c>
      <c r="J174">
        <v>172</v>
      </c>
      <c r="K174" s="24" t="s">
        <v>215</v>
      </c>
      <c r="L174" s="23">
        <f t="shared" si="69"/>
        <v>105974</v>
      </c>
      <c r="M174" s="23">
        <f t="shared" si="68"/>
        <v>92606</v>
      </c>
      <c r="N174" s="23">
        <f t="shared" si="72"/>
        <v>13368</v>
      </c>
      <c r="O174" s="23">
        <f t="shared" si="70"/>
        <v>24586861</v>
      </c>
    </row>
    <row r="175" spans="1:15" ht="18.600000000000001" thickBot="1" x14ac:dyDescent="0.5">
      <c r="A175" s="86"/>
      <c r="B175" s="7"/>
      <c r="C175" s="5" t="s">
        <v>8</v>
      </c>
      <c r="D175" s="5"/>
      <c r="E175" s="49">
        <f>_xlfn.SWITCH(H170,1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1144.5192</v>
      </c>
      <c r="F175" s="3"/>
      <c r="G175" s="28" t="s">
        <v>16</v>
      </c>
      <c r="H175" s="37">
        <f>真実の家賃!$I$8*AD11</f>
        <v>3130.9333333333348</v>
      </c>
      <c r="I175" t="s">
        <v>465</v>
      </c>
      <c r="J175">
        <v>173</v>
      </c>
      <c r="K175" s="24" t="s">
        <v>216</v>
      </c>
      <c r="L175" s="23">
        <f t="shared" si="69"/>
        <v>105974</v>
      </c>
      <c r="M175" s="23">
        <f t="shared" si="68"/>
        <v>92657</v>
      </c>
      <c r="N175" s="23">
        <f t="shared" si="72"/>
        <v>13317</v>
      </c>
      <c r="O175" s="23">
        <f t="shared" si="70"/>
        <v>24494204</v>
      </c>
    </row>
    <row r="176" spans="1:15" ht="18.600000000000001" thickBot="1" x14ac:dyDescent="0.5">
      <c r="A176" s="86"/>
      <c r="B176" s="8"/>
      <c r="C176" s="127" t="s">
        <v>2</v>
      </c>
      <c r="D176" s="128"/>
      <c r="E176" s="19">
        <f t="shared" ref="E176" si="104">IF(H178="",H170*15,H178)</f>
        <v>135</v>
      </c>
      <c r="F176" s="3"/>
      <c r="G176" s="56" t="s">
        <v>573</v>
      </c>
      <c r="H176" s="40" t="str">
        <f t="shared" si="101"/>
        <v/>
      </c>
      <c r="I176" t="s">
        <v>465</v>
      </c>
      <c r="J176">
        <v>174</v>
      </c>
      <c r="K176" s="24" t="s">
        <v>217</v>
      </c>
      <c r="L176" s="23">
        <f t="shared" si="69"/>
        <v>105974</v>
      </c>
      <c r="M176" s="23">
        <f t="shared" si="68"/>
        <v>92707</v>
      </c>
      <c r="N176" s="23">
        <f t="shared" si="72"/>
        <v>13267</v>
      </c>
      <c r="O176" s="23">
        <f t="shared" si="70"/>
        <v>24401497</v>
      </c>
    </row>
    <row r="177" spans="1:15" ht="18.600000000000001" thickBot="1" x14ac:dyDescent="0.5">
      <c r="A177" s="86"/>
      <c r="B177" s="8"/>
      <c r="C177" s="129" t="s">
        <v>9</v>
      </c>
      <c r="D177" s="129"/>
      <c r="E177" s="19">
        <f t="shared" ref="E177" si="105">_xlfn.SWITCH(H170,1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-218.17264279999998</v>
      </c>
      <c r="F177" s="3"/>
      <c r="G177" s="34" t="s">
        <v>6</v>
      </c>
      <c r="H177" s="40" t="str">
        <f t="shared" si="101"/>
        <v/>
      </c>
      <c r="I177" t="s">
        <v>465</v>
      </c>
      <c r="J177">
        <v>175</v>
      </c>
      <c r="K177" s="24" t="s">
        <v>218</v>
      </c>
      <c r="L177" s="23">
        <f t="shared" si="69"/>
        <v>105974</v>
      </c>
      <c r="M177" s="23">
        <f t="shared" si="68"/>
        <v>92757</v>
      </c>
      <c r="N177" s="23">
        <f t="shared" si="72"/>
        <v>13217</v>
      </c>
      <c r="O177" s="23">
        <f t="shared" si="70"/>
        <v>24308740</v>
      </c>
    </row>
    <row r="178" spans="1:15" ht="18.600000000000001" thickBot="1" x14ac:dyDescent="0.5">
      <c r="A178" s="86"/>
      <c r="B178" s="8"/>
      <c r="C178" s="130" t="s">
        <v>10</v>
      </c>
      <c r="D178" s="131"/>
      <c r="E178" s="19">
        <f t="shared" ref="E178" si="106">IF(H176="",$AA$3,H170*H176)</f>
        <v>0</v>
      </c>
      <c r="F178" s="3"/>
      <c r="G178" s="28" t="s">
        <v>560</v>
      </c>
      <c r="H178" s="40" t="str">
        <f t="shared" si="101"/>
        <v/>
      </c>
      <c r="I178" t="s">
        <v>465</v>
      </c>
      <c r="J178">
        <v>176</v>
      </c>
      <c r="K178" s="24" t="s">
        <v>219</v>
      </c>
      <c r="L178" s="23">
        <f t="shared" si="69"/>
        <v>105974</v>
      </c>
      <c r="M178" s="23">
        <f t="shared" si="68"/>
        <v>92807</v>
      </c>
      <c r="N178" s="23">
        <f t="shared" si="72"/>
        <v>13167</v>
      </c>
      <c r="O178" s="23">
        <f t="shared" si="70"/>
        <v>24215933</v>
      </c>
    </row>
    <row r="179" spans="1:15" ht="18.600000000000001" thickBot="1" x14ac:dyDescent="0.5">
      <c r="A179" s="86"/>
      <c r="B179" s="132" t="s">
        <v>11</v>
      </c>
      <c r="C179" s="126"/>
      <c r="D179" s="126"/>
      <c r="E179" s="19">
        <f t="shared" ref="E179" si="107">SUM(E175:E178)</f>
        <v>1061.3465572</v>
      </c>
      <c r="F179" s="3"/>
      <c r="G179" s="33" t="s">
        <v>561</v>
      </c>
      <c r="H179" s="41" t="str">
        <f t="shared" si="101"/>
        <v/>
      </c>
      <c r="I179" t="s">
        <v>465</v>
      </c>
      <c r="J179">
        <v>177</v>
      </c>
      <c r="K179" s="24" t="s">
        <v>220</v>
      </c>
      <c r="L179" s="23">
        <f t="shared" si="69"/>
        <v>105974</v>
      </c>
      <c r="M179" s="23">
        <f t="shared" si="68"/>
        <v>92858</v>
      </c>
      <c r="N179" s="23">
        <f t="shared" si="72"/>
        <v>13116</v>
      </c>
      <c r="O179" s="23">
        <f t="shared" si="70"/>
        <v>24123075</v>
      </c>
    </row>
    <row r="180" spans="1:15" ht="18.600000000000001" thickBot="1" x14ac:dyDescent="0.5">
      <c r="A180" s="86"/>
      <c r="B180" s="7"/>
      <c r="C180" s="127" t="s">
        <v>12</v>
      </c>
      <c r="D180" s="128"/>
      <c r="E180" s="19">
        <f t="shared" ref="E180" si="108">_xlfn.SWITCH(H170,1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3041.3721999999998</v>
      </c>
      <c r="F180" s="3"/>
      <c r="G180" s="32"/>
      <c r="J180">
        <v>178</v>
      </c>
      <c r="K180" s="24" t="s">
        <v>221</v>
      </c>
      <c r="L180" s="23">
        <f t="shared" si="69"/>
        <v>105974</v>
      </c>
      <c r="M180" s="23">
        <f t="shared" si="68"/>
        <v>92908</v>
      </c>
      <c r="N180" s="23">
        <f t="shared" si="72"/>
        <v>13066</v>
      </c>
      <c r="O180" s="23">
        <f t="shared" si="70"/>
        <v>24030167</v>
      </c>
    </row>
    <row r="181" spans="1:15" ht="18.600000000000001" thickBot="1" x14ac:dyDescent="0.5">
      <c r="A181" s="86"/>
      <c r="B181" s="8"/>
      <c r="C181" s="127" t="s">
        <v>13</v>
      </c>
      <c r="D181" s="128"/>
      <c r="E181" s="19">
        <f t="shared" ref="E181" si="109">IF(H179="",H175*0.05,H179)</f>
        <v>156.54666666666674</v>
      </c>
      <c r="F181" s="3"/>
      <c r="G181" s="30"/>
      <c r="J181">
        <v>179</v>
      </c>
      <c r="K181" s="24" t="s">
        <v>222</v>
      </c>
      <c r="L181" s="23">
        <f t="shared" si="69"/>
        <v>105974</v>
      </c>
      <c r="M181" s="23">
        <f t="shared" si="68"/>
        <v>92958</v>
      </c>
      <c r="N181" s="23">
        <f t="shared" si="72"/>
        <v>13016</v>
      </c>
      <c r="O181" s="23">
        <f t="shared" si="70"/>
        <v>23937209</v>
      </c>
    </row>
    <row r="182" spans="1:15" ht="18.600000000000001" thickBot="1" x14ac:dyDescent="0.5">
      <c r="A182" s="86"/>
      <c r="B182" s="132" t="s">
        <v>14</v>
      </c>
      <c r="C182" s="126"/>
      <c r="D182" s="126"/>
      <c r="E182" s="19">
        <f t="shared" ref="E182" si="110">SUM(E180:E181)</f>
        <v>3197.9188666666664</v>
      </c>
      <c r="F182" s="3"/>
      <c r="G182" s="30"/>
      <c r="J182">
        <v>180</v>
      </c>
      <c r="K182" s="24" t="s">
        <v>223</v>
      </c>
      <c r="L182" s="23">
        <f t="shared" si="69"/>
        <v>105974</v>
      </c>
      <c r="M182" s="23">
        <f t="shared" si="68"/>
        <v>93009</v>
      </c>
      <c r="N182" s="23">
        <f t="shared" si="72"/>
        <v>12965</v>
      </c>
      <c r="O182" s="23">
        <f t="shared" si="70"/>
        <v>23844200</v>
      </c>
    </row>
    <row r="183" spans="1:15" ht="18.600000000000001" thickBot="1" x14ac:dyDescent="0.5">
      <c r="A183" s="97" t="s">
        <v>15</v>
      </c>
      <c r="B183" s="98"/>
      <c r="C183" s="98"/>
      <c r="D183" s="99"/>
      <c r="E183" s="20">
        <f t="shared" ref="E183" si="111">E174+E179+E182</f>
        <v>4498.0654238666666</v>
      </c>
      <c r="F183" s="3"/>
      <c r="G183" s="30"/>
      <c r="J183">
        <v>181</v>
      </c>
      <c r="K183" s="24" t="s">
        <v>224</v>
      </c>
      <c r="L183" s="23">
        <f t="shared" si="69"/>
        <v>105974</v>
      </c>
      <c r="M183" s="23">
        <f t="shared" si="68"/>
        <v>93059</v>
      </c>
      <c r="N183" s="23">
        <f t="shared" si="72"/>
        <v>12915</v>
      </c>
      <c r="O183" s="23">
        <f t="shared" si="70"/>
        <v>23751141</v>
      </c>
    </row>
    <row r="184" spans="1:15" ht="18.600000000000001" thickBot="1" x14ac:dyDescent="0.5">
      <c r="A184" s="6"/>
      <c r="B184" s="126" t="s">
        <v>16</v>
      </c>
      <c r="C184" s="126"/>
      <c r="D184" s="126"/>
      <c r="E184" s="19">
        <f t="shared" ref="E184" si="112">H175</f>
        <v>3130.9333333333348</v>
      </c>
      <c r="F184" s="3"/>
      <c r="J184">
        <v>182</v>
      </c>
      <c r="K184" s="24" t="s">
        <v>225</v>
      </c>
      <c r="L184" s="23">
        <f t="shared" si="69"/>
        <v>105974</v>
      </c>
      <c r="M184" s="23">
        <f t="shared" si="68"/>
        <v>93109</v>
      </c>
      <c r="N184" s="23">
        <f t="shared" si="72"/>
        <v>12865</v>
      </c>
      <c r="O184" s="23">
        <f t="shared" si="70"/>
        <v>23658032</v>
      </c>
    </row>
    <row r="185" spans="1:15" ht="18.600000000000001" thickBot="1" x14ac:dyDescent="0.5">
      <c r="A185" s="97" t="s">
        <v>17</v>
      </c>
      <c r="B185" s="98"/>
      <c r="C185" s="98"/>
      <c r="D185" s="99"/>
      <c r="E185" s="20">
        <f t="shared" ref="E185" si="113">E184</f>
        <v>3130.9333333333348</v>
      </c>
      <c r="F185" s="3"/>
      <c r="J185">
        <v>183</v>
      </c>
      <c r="K185" s="24" t="s">
        <v>226</v>
      </c>
      <c r="L185" s="23">
        <f t="shared" si="69"/>
        <v>105974</v>
      </c>
      <c r="M185" s="23">
        <f t="shared" si="68"/>
        <v>93160</v>
      </c>
      <c r="N185" s="23">
        <f t="shared" si="72"/>
        <v>12814</v>
      </c>
      <c r="O185" s="23">
        <f t="shared" si="70"/>
        <v>23564872</v>
      </c>
    </row>
    <row r="186" spans="1:15" ht="18.600000000000001" thickBot="1" x14ac:dyDescent="0.5">
      <c r="A186" s="96" t="s">
        <v>18</v>
      </c>
      <c r="B186" s="96"/>
      <c r="C186" s="96"/>
      <c r="D186" s="96"/>
      <c r="E186" s="14">
        <f t="shared" ref="E186" si="114">12*H170</f>
        <v>108</v>
      </c>
      <c r="F186" s="3"/>
      <c r="J186">
        <v>184</v>
      </c>
      <c r="K186" s="24" t="s">
        <v>227</v>
      </c>
      <c r="L186" s="23">
        <f t="shared" si="69"/>
        <v>105974</v>
      </c>
      <c r="M186" s="23">
        <f t="shared" si="68"/>
        <v>93210</v>
      </c>
      <c r="N186" s="23">
        <f t="shared" si="72"/>
        <v>12764</v>
      </c>
      <c r="O186" s="23">
        <f t="shared" si="70"/>
        <v>23471662</v>
      </c>
    </row>
    <row r="187" spans="1:15" ht="18.600000000000001" thickBot="1" x14ac:dyDescent="0.5">
      <c r="A187" s="3"/>
      <c r="B187" s="3"/>
      <c r="C187" s="3"/>
      <c r="D187" s="3"/>
      <c r="E187" s="3"/>
      <c r="F187" s="3"/>
      <c r="J187">
        <v>185</v>
      </c>
      <c r="K187" s="24" t="s">
        <v>228</v>
      </c>
      <c r="L187" s="23">
        <f t="shared" si="69"/>
        <v>105974</v>
      </c>
      <c r="M187" s="23">
        <f t="shared" si="68"/>
        <v>93261</v>
      </c>
      <c r="N187" s="23">
        <f t="shared" si="72"/>
        <v>12713</v>
      </c>
      <c r="O187" s="23">
        <f t="shared" si="70"/>
        <v>23378401</v>
      </c>
    </row>
    <row r="188" spans="1:15" ht="18.600000000000001" thickBot="1" x14ac:dyDescent="0.5">
      <c r="A188" s="12" t="s">
        <v>19</v>
      </c>
      <c r="B188" s="12"/>
      <c r="C188" s="12"/>
      <c r="D188" s="12"/>
      <c r="E188" s="15">
        <f t="shared" ref="E188" si="115">-((E185-E183)/E186)</f>
        <v>12.65863046790122</v>
      </c>
      <c r="F188" s="3" t="s">
        <v>20</v>
      </c>
      <c r="J188">
        <v>186</v>
      </c>
      <c r="K188" s="24" t="s">
        <v>229</v>
      </c>
      <c r="L188" s="23">
        <f t="shared" si="69"/>
        <v>105974</v>
      </c>
      <c r="M188" s="23">
        <f t="shared" si="68"/>
        <v>93311</v>
      </c>
      <c r="N188" s="23">
        <f t="shared" si="72"/>
        <v>12663</v>
      </c>
      <c r="O188" s="23">
        <f t="shared" si="70"/>
        <v>23285090</v>
      </c>
    </row>
    <row r="189" spans="1:15" x14ac:dyDescent="0.45">
      <c r="A189" s="3"/>
      <c r="B189" s="3"/>
      <c r="C189" s="3"/>
      <c r="D189" s="3"/>
      <c r="E189" s="3"/>
      <c r="F189" s="3"/>
      <c r="J189">
        <v>187</v>
      </c>
      <c r="K189" s="24" t="s">
        <v>230</v>
      </c>
      <c r="L189" s="23">
        <f t="shared" si="69"/>
        <v>105974</v>
      </c>
      <c r="M189" s="23">
        <f t="shared" si="68"/>
        <v>93362</v>
      </c>
      <c r="N189" s="23">
        <f t="shared" si="72"/>
        <v>12612</v>
      </c>
      <c r="O189" s="23">
        <f t="shared" si="70"/>
        <v>23191728</v>
      </c>
    </row>
    <row r="190" spans="1:15" ht="18.600000000000001" thickBot="1" x14ac:dyDescent="0.5">
      <c r="A190" s="3"/>
      <c r="B190" s="3"/>
      <c r="D190" s="3"/>
      <c r="E190" s="3"/>
      <c r="F190" s="3"/>
      <c r="J190">
        <v>188</v>
      </c>
      <c r="K190" s="24" t="s">
        <v>231</v>
      </c>
      <c r="L190" s="23">
        <f t="shared" si="69"/>
        <v>105974</v>
      </c>
      <c r="M190" s="23">
        <f t="shared" si="68"/>
        <v>93412</v>
      </c>
      <c r="N190" s="23">
        <f t="shared" si="72"/>
        <v>12562</v>
      </c>
      <c r="O190" s="23">
        <f t="shared" si="70"/>
        <v>23098316</v>
      </c>
    </row>
    <row r="191" spans="1:15" ht="18.600000000000001" thickBot="1" x14ac:dyDescent="0.5">
      <c r="A191" s="10" t="s">
        <v>4</v>
      </c>
      <c r="B191" s="3"/>
      <c r="C191" s="3"/>
      <c r="D191" s="3"/>
      <c r="E191" s="4" t="s">
        <v>1</v>
      </c>
      <c r="F191" s="4"/>
      <c r="G191" s="38" t="s">
        <v>508</v>
      </c>
      <c r="H191" s="42">
        <f t="shared" ref="H191" si="116">H170+1</f>
        <v>10</v>
      </c>
      <c r="I191" t="s">
        <v>509</v>
      </c>
      <c r="J191">
        <v>189</v>
      </c>
      <c r="K191" s="24" t="s">
        <v>232</v>
      </c>
      <c r="L191" s="23">
        <f t="shared" si="69"/>
        <v>105974</v>
      </c>
      <c r="M191" s="23">
        <f t="shared" si="68"/>
        <v>93463</v>
      </c>
      <c r="N191" s="23">
        <f t="shared" si="72"/>
        <v>12511</v>
      </c>
      <c r="O191" s="23">
        <f t="shared" si="70"/>
        <v>23004853</v>
      </c>
    </row>
    <row r="192" spans="1:15" ht="18.600000000000001" thickBot="1" x14ac:dyDescent="0.5">
      <c r="A192" s="133" t="s">
        <v>5</v>
      </c>
      <c r="B192" s="133"/>
      <c r="C192" s="133"/>
      <c r="D192" s="133"/>
      <c r="E192" s="11" t="s">
        <v>0</v>
      </c>
      <c r="F192" s="3"/>
      <c r="G192" s="36" t="s">
        <v>464</v>
      </c>
      <c r="H192" s="37">
        <f t="shared" ref="H192:H195" si="117">H171</f>
        <v>3980</v>
      </c>
      <c r="I192" t="s">
        <v>465</v>
      </c>
      <c r="J192">
        <v>190</v>
      </c>
      <c r="K192" s="24" t="s">
        <v>233</v>
      </c>
      <c r="L192" s="23">
        <f t="shared" si="69"/>
        <v>105974</v>
      </c>
      <c r="M192" s="23">
        <f t="shared" si="68"/>
        <v>93514</v>
      </c>
      <c r="N192" s="23">
        <f t="shared" si="72"/>
        <v>12460</v>
      </c>
      <c r="O192" s="23">
        <f t="shared" si="70"/>
        <v>22911339</v>
      </c>
    </row>
    <row r="193" spans="1:15" ht="18.600000000000001" thickBot="1" x14ac:dyDescent="0.5">
      <c r="A193" s="85"/>
      <c r="B193" s="87"/>
      <c r="C193" s="127" t="s">
        <v>3</v>
      </c>
      <c r="D193" s="128"/>
      <c r="E193" s="29">
        <f t="shared" ref="E193" si="118">IF(H195="",0,H195)</f>
        <v>0</v>
      </c>
      <c r="F193" s="3"/>
      <c r="G193" s="25" t="s">
        <v>466</v>
      </c>
      <c r="H193" s="43">
        <f t="shared" si="117"/>
        <v>0.65</v>
      </c>
      <c r="I193" t="s">
        <v>469</v>
      </c>
      <c r="J193">
        <v>191</v>
      </c>
      <c r="K193" s="24" t="s">
        <v>234</v>
      </c>
      <c r="L193" s="23">
        <f t="shared" si="69"/>
        <v>105974</v>
      </c>
      <c r="M193" s="23">
        <f t="shared" si="68"/>
        <v>93564</v>
      </c>
      <c r="N193" s="23">
        <f t="shared" si="72"/>
        <v>12410</v>
      </c>
      <c r="O193" s="23">
        <f t="shared" si="70"/>
        <v>22817775</v>
      </c>
    </row>
    <row r="194" spans="1:15" ht="18.600000000000001" thickBot="1" x14ac:dyDescent="0.5">
      <c r="A194" s="86"/>
      <c r="B194" s="88"/>
      <c r="C194" s="127" t="s">
        <v>6</v>
      </c>
      <c r="D194" s="128"/>
      <c r="E194" s="19">
        <f>IF(H198="",$H$7*0.06,H198)</f>
        <v>238.79999999999998</v>
      </c>
      <c r="F194" s="3"/>
      <c r="G194" s="25" t="s">
        <v>467</v>
      </c>
      <c r="H194" s="37">
        <f t="shared" si="117"/>
        <v>35</v>
      </c>
      <c r="I194" t="s">
        <v>468</v>
      </c>
      <c r="J194">
        <v>192</v>
      </c>
      <c r="K194" s="24" t="s">
        <v>235</v>
      </c>
      <c r="L194" s="23">
        <f t="shared" si="69"/>
        <v>105974</v>
      </c>
      <c r="M194" s="23">
        <f t="shared" si="68"/>
        <v>93615</v>
      </c>
      <c r="N194" s="23">
        <f t="shared" si="72"/>
        <v>12359</v>
      </c>
      <c r="O194" s="23">
        <f t="shared" si="70"/>
        <v>22724160</v>
      </c>
    </row>
    <row r="195" spans="1:15" ht="18.600000000000001" thickBot="1" x14ac:dyDescent="0.5">
      <c r="A195" s="86"/>
      <c r="B195" s="91" t="s">
        <v>7</v>
      </c>
      <c r="C195" s="92"/>
      <c r="D195" s="92"/>
      <c r="E195" s="19">
        <f t="shared" ref="E195" si="119">SUM(E193:E194)</f>
        <v>238.79999999999998</v>
      </c>
      <c r="F195" s="3"/>
      <c r="G195" s="28" t="s">
        <v>3</v>
      </c>
      <c r="H195" s="37">
        <f t="shared" si="117"/>
        <v>0</v>
      </c>
      <c r="I195" t="s">
        <v>465</v>
      </c>
      <c r="J195">
        <v>193</v>
      </c>
      <c r="K195" s="24" t="s">
        <v>236</v>
      </c>
      <c r="L195" s="23">
        <f t="shared" si="69"/>
        <v>105974</v>
      </c>
      <c r="M195" s="23">
        <f t="shared" si="68"/>
        <v>93666</v>
      </c>
      <c r="N195" s="23">
        <f t="shared" si="72"/>
        <v>12308</v>
      </c>
      <c r="O195" s="23">
        <f t="shared" si="70"/>
        <v>22630494</v>
      </c>
    </row>
    <row r="196" spans="1:15" ht="18.600000000000001" thickBot="1" x14ac:dyDescent="0.5">
      <c r="A196" s="86"/>
      <c r="B196" s="7"/>
      <c r="C196" s="5" t="s">
        <v>8</v>
      </c>
      <c r="D196" s="5"/>
      <c r="E196" s="49">
        <f>_xlfn.SWITCH(H191,1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1271.6880000000001</v>
      </c>
      <c r="F196" s="3"/>
      <c r="G196" s="28" t="s">
        <v>16</v>
      </c>
      <c r="H196" s="37">
        <f>真実の家賃!$I$8*AD12</f>
        <v>3024.8</v>
      </c>
      <c r="I196" t="s">
        <v>465</v>
      </c>
      <c r="J196">
        <v>194</v>
      </c>
      <c r="K196" s="24" t="s">
        <v>237</v>
      </c>
      <c r="L196" s="23">
        <f t="shared" si="69"/>
        <v>105974</v>
      </c>
      <c r="M196" s="23">
        <f t="shared" ref="M196:M259" si="120">IF(L196&lt;=0,0,L196-N196)</f>
        <v>93716</v>
      </c>
      <c r="N196" s="23">
        <f t="shared" si="72"/>
        <v>12258</v>
      </c>
      <c r="O196" s="23">
        <f t="shared" si="70"/>
        <v>22536778</v>
      </c>
    </row>
    <row r="197" spans="1:15" ht="18.600000000000001" thickBot="1" x14ac:dyDescent="0.5">
      <c r="A197" s="86"/>
      <c r="B197" s="8"/>
      <c r="C197" s="127" t="s">
        <v>2</v>
      </c>
      <c r="D197" s="128"/>
      <c r="E197" s="19">
        <f t="shared" ref="E197" si="121">IF(H199="",H191*15,H199)</f>
        <v>150</v>
      </c>
      <c r="F197" s="3"/>
      <c r="G197" s="56" t="s">
        <v>573</v>
      </c>
      <c r="H197" s="40" t="str">
        <f>H176</f>
        <v/>
      </c>
      <c r="I197" t="s">
        <v>465</v>
      </c>
      <c r="J197">
        <v>195</v>
      </c>
      <c r="K197" s="24" t="s">
        <v>238</v>
      </c>
      <c r="L197" s="23">
        <f t="shared" ref="L197:L260" si="122">IF(N197&lt;=0,0,L196)</f>
        <v>105974</v>
      </c>
      <c r="M197" s="23">
        <f t="shared" si="120"/>
        <v>93767</v>
      </c>
      <c r="N197" s="23">
        <f t="shared" si="72"/>
        <v>12207</v>
      </c>
      <c r="O197" s="23">
        <f t="shared" ref="O197:O260" si="123">IF(L197&lt;=0,0,(O196-M197))</f>
        <v>22443011</v>
      </c>
    </row>
    <row r="198" spans="1:15" ht="18.600000000000001" thickBot="1" x14ac:dyDescent="0.5">
      <c r="A198" s="86"/>
      <c r="B198" s="8"/>
      <c r="C198" s="129" t="s">
        <v>9</v>
      </c>
      <c r="D198" s="129"/>
      <c r="E198" s="19">
        <f t="shared" ref="E198" si="124">_xlfn.SWITCH(H191,1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-238.70820189999998</v>
      </c>
      <c r="F198" s="3"/>
      <c r="G198" s="34" t="s">
        <v>6</v>
      </c>
      <c r="H198" s="40" t="str">
        <f t="shared" si="85"/>
        <v/>
      </c>
      <c r="I198" t="s">
        <v>465</v>
      </c>
      <c r="J198">
        <v>196</v>
      </c>
      <c r="K198" s="24" t="s">
        <v>239</v>
      </c>
      <c r="L198" s="23">
        <f t="shared" si="122"/>
        <v>105974</v>
      </c>
      <c r="M198" s="23">
        <f t="shared" si="120"/>
        <v>93818</v>
      </c>
      <c r="N198" s="23">
        <f t="shared" ref="N198:N261" si="125">IF(O197&lt;=0,0,INT(O197*($H$4/100)/12))</f>
        <v>12156</v>
      </c>
      <c r="O198" s="23">
        <f t="shared" si="123"/>
        <v>22349193</v>
      </c>
    </row>
    <row r="199" spans="1:15" ht="18.600000000000001" thickBot="1" x14ac:dyDescent="0.5">
      <c r="A199" s="86"/>
      <c r="B199" s="8"/>
      <c r="C199" s="130" t="s">
        <v>10</v>
      </c>
      <c r="D199" s="131"/>
      <c r="E199" s="19">
        <f t="shared" ref="E199" si="126">IF(H197="",$AA$3,H191*H197)</f>
        <v>0</v>
      </c>
      <c r="F199" s="3"/>
      <c r="G199" s="28" t="s">
        <v>560</v>
      </c>
      <c r="H199" s="40" t="str">
        <f t="shared" si="85"/>
        <v/>
      </c>
      <c r="I199" t="s">
        <v>465</v>
      </c>
      <c r="J199">
        <v>197</v>
      </c>
      <c r="K199" s="24" t="s">
        <v>240</v>
      </c>
      <c r="L199" s="23">
        <f t="shared" si="122"/>
        <v>105974</v>
      </c>
      <c r="M199" s="23">
        <f t="shared" si="120"/>
        <v>93869</v>
      </c>
      <c r="N199" s="23">
        <f t="shared" si="125"/>
        <v>12105</v>
      </c>
      <c r="O199" s="23">
        <f t="shared" si="123"/>
        <v>22255324</v>
      </c>
    </row>
    <row r="200" spans="1:15" ht="18.600000000000001" thickBot="1" x14ac:dyDescent="0.5">
      <c r="A200" s="86"/>
      <c r="B200" s="132" t="s">
        <v>11</v>
      </c>
      <c r="C200" s="126"/>
      <c r="D200" s="126"/>
      <c r="E200" s="19">
        <f t="shared" ref="E200" si="127">SUM(E196:E199)</f>
        <v>1182.9797981000002</v>
      </c>
      <c r="F200" s="3"/>
      <c r="G200" s="33" t="s">
        <v>561</v>
      </c>
      <c r="H200" s="41" t="str">
        <f t="shared" si="85"/>
        <v/>
      </c>
      <c r="I200" t="s">
        <v>465</v>
      </c>
      <c r="J200">
        <v>198</v>
      </c>
      <c r="K200" s="24" t="s">
        <v>241</v>
      </c>
      <c r="L200" s="23">
        <f t="shared" si="122"/>
        <v>105974</v>
      </c>
      <c r="M200" s="23">
        <f t="shared" si="120"/>
        <v>93920</v>
      </c>
      <c r="N200" s="23">
        <f t="shared" si="125"/>
        <v>12054</v>
      </c>
      <c r="O200" s="23">
        <f t="shared" si="123"/>
        <v>22161404</v>
      </c>
    </row>
    <row r="201" spans="1:15" ht="18.600000000000001" thickBot="1" x14ac:dyDescent="0.5">
      <c r="A201" s="86"/>
      <c r="B201" s="7"/>
      <c r="C201" s="127" t="s">
        <v>12</v>
      </c>
      <c r="D201" s="128"/>
      <c r="E201" s="19">
        <f t="shared" ref="E201" si="128">_xlfn.SWITCH(H191,1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2933.6513</v>
      </c>
      <c r="F201" s="3"/>
      <c r="G201" s="32"/>
      <c r="J201">
        <v>199</v>
      </c>
      <c r="K201" s="24" t="s">
        <v>242</v>
      </c>
      <c r="L201" s="23">
        <f t="shared" si="122"/>
        <v>105974</v>
      </c>
      <c r="M201" s="23">
        <f t="shared" si="120"/>
        <v>93970</v>
      </c>
      <c r="N201" s="23">
        <f t="shared" si="125"/>
        <v>12004</v>
      </c>
      <c r="O201" s="23">
        <f t="shared" si="123"/>
        <v>22067434</v>
      </c>
    </row>
    <row r="202" spans="1:15" ht="18.600000000000001" thickBot="1" x14ac:dyDescent="0.5">
      <c r="A202" s="86"/>
      <c r="B202" s="8"/>
      <c r="C202" s="127" t="s">
        <v>13</v>
      </c>
      <c r="D202" s="128"/>
      <c r="E202" s="19">
        <f>IF(H200="",H196*0.05,H200)</f>
        <v>151.24</v>
      </c>
      <c r="F202" s="3"/>
      <c r="G202" s="30"/>
      <c r="J202">
        <v>200</v>
      </c>
      <c r="K202" s="24" t="s">
        <v>243</v>
      </c>
      <c r="L202" s="23">
        <f t="shared" si="122"/>
        <v>105974</v>
      </c>
      <c r="M202" s="23">
        <f t="shared" si="120"/>
        <v>94021</v>
      </c>
      <c r="N202" s="23">
        <f t="shared" si="125"/>
        <v>11953</v>
      </c>
      <c r="O202" s="23">
        <f t="shared" si="123"/>
        <v>21973413</v>
      </c>
    </row>
    <row r="203" spans="1:15" ht="18.600000000000001" thickBot="1" x14ac:dyDescent="0.5">
      <c r="A203" s="86"/>
      <c r="B203" s="132" t="s">
        <v>14</v>
      </c>
      <c r="C203" s="126"/>
      <c r="D203" s="126"/>
      <c r="E203" s="19">
        <f>SUM(E201:E202)</f>
        <v>3084.8913000000002</v>
      </c>
      <c r="F203" s="3"/>
      <c r="G203" s="30"/>
      <c r="J203">
        <v>201</v>
      </c>
      <c r="K203" s="24" t="s">
        <v>244</v>
      </c>
      <c r="L203" s="23">
        <f t="shared" si="122"/>
        <v>105974</v>
      </c>
      <c r="M203" s="23">
        <f t="shared" si="120"/>
        <v>94072</v>
      </c>
      <c r="N203" s="23">
        <f t="shared" si="125"/>
        <v>11902</v>
      </c>
      <c r="O203" s="23">
        <f t="shared" si="123"/>
        <v>21879341</v>
      </c>
    </row>
    <row r="204" spans="1:15" ht="18.600000000000001" thickBot="1" x14ac:dyDescent="0.5">
      <c r="A204" s="97" t="s">
        <v>15</v>
      </c>
      <c r="B204" s="98"/>
      <c r="C204" s="98"/>
      <c r="D204" s="99"/>
      <c r="E204" s="20">
        <f>E195+E200+E203</f>
        <v>4506.6710981000006</v>
      </c>
      <c r="F204" s="3"/>
      <c r="G204" s="30"/>
      <c r="J204">
        <v>202</v>
      </c>
      <c r="K204" s="24" t="s">
        <v>245</v>
      </c>
      <c r="L204" s="23">
        <f t="shared" si="122"/>
        <v>105974</v>
      </c>
      <c r="M204" s="23">
        <f t="shared" si="120"/>
        <v>94123</v>
      </c>
      <c r="N204" s="23">
        <f t="shared" si="125"/>
        <v>11851</v>
      </c>
      <c r="O204" s="23">
        <f t="shared" si="123"/>
        <v>21785218</v>
      </c>
    </row>
    <row r="205" spans="1:15" ht="18.600000000000001" thickBot="1" x14ac:dyDescent="0.5">
      <c r="A205" s="6"/>
      <c r="B205" s="126" t="s">
        <v>16</v>
      </c>
      <c r="C205" s="126"/>
      <c r="D205" s="126"/>
      <c r="E205" s="19">
        <f t="shared" ref="E205" si="129">H196</f>
        <v>3024.8</v>
      </c>
      <c r="F205" s="3"/>
      <c r="J205">
        <v>203</v>
      </c>
      <c r="K205" s="24" t="s">
        <v>246</v>
      </c>
      <c r="L205" s="23">
        <f t="shared" si="122"/>
        <v>105974</v>
      </c>
      <c r="M205" s="23">
        <f t="shared" si="120"/>
        <v>94174</v>
      </c>
      <c r="N205" s="23">
        <f t="shared" si="125"/>
        <v>11800</v>
      </c>
      <c r="O205" s="23">
        <f t="shared" si="123"/>
        <v>21691044</v>
      </c>
    </row>
    <row r="206" spans="1:15" ht="18.600000000000001" thickBot="1" x14ac:dyDescent="0.5">
      <c r="A206" s="97" t="s">
        <v>17</v>
      </c>
      <c r="B206" s="98"/>
      <c r="C206" s="98"/>
      <c r="D206" s="99"/>
      <c r="E206" s="20">
        <f t="shared" ref="E206" si="130">E205</f>
        <v>3024.8</v>
      </c>
      <c r="F206" s="3"/>
      <c r="J206">
        <v>204</v>
      </c>
      <c r="K206" s="24" t="s">
        <v>247</v>
      </c>
      <c r="L206" s="23">
        <f t="shared" si="122"/>
        <v>105974</v>
      </c>
      <c r="M206" s="23">
        <f t="shared" si="120"/>
        <v>94225</v>
      </c>
      <c r="N206" s="23">
        <f t="shared" si="125"/>
        <v>11749</v>
      </c>
      <c r="O206" s="23">
        <f t="shared" si="123"/>
        <v>21596819</v>
      </c>
    </row>
    <row r="207" spans="1:15" ht="18.600000000000001" thickBot="1" x14ac:dyDescent="0.5">
      <c r="A207" s="96" t="s">
        <v>18</v>
      </c>
      <c r="B207" s="96"/>
      <c r="C207" s="96"/>
      <c r="D207" s="96"/>
      <c r="E207" s="14">
        <f t="shared" ref="E207" si="131">12*H191</f>
        <v>120</v>
      </c>
      <c r="F207" s="3"/>
      <c r="J207">
        <v>205</v>
      </c>
      <c r="K207" s="24" t="s">
        <v>248</v>
      </c>
      <c r="L207" s="23">
        <f t="shared" si="122"/>
        <v>105974</v>
      </c>
      <c r="M207" s="23">
        <f t="shared" si="120"/>
        <v>94276</v>
      </c>
      <c r="N207" s="23">
        <f t="shared" si="125"/>
        <v>11698</v>
      </c>
      <c r="O207" s="23">
        <f t="shared" si="123"/>
        <v>21502543</v>
      </c>
    </row>
    <row r="208" spans="1:15" ht="18.600000000000001" thickBot="1" x14ac:dyDescent="0.5">
      <c r="A208" s="3"/>
      <c r="B208" s="3"/>
      <c r="C208" s="3"/>
      <c r="D208" s="3"/>
      <c r="E208" s="3"/>
      <c r="F208" s="3"/>
      <c r="J208">
        <v>206</v>
      </c>
      <c r="K208" s="24" t="s">
        <v>249</v>
      </c>
      <c r="L208" s="23">
        <f t="shared" si="122"/>
        <v>105974</v>
      </c>
      <c r="M208" s="23">
        <f t="shared" si="120"/>
        <v>94327</v>
      </c>
      <c r="N208" s="23">
        <f t="shared" si="125"/>
        <v>11647</v>
      </c>
      <c r="O208" s="23">
        <f t="shared" si="123"/>
        <v>21408216</v>
      </c>
    </row>
    <row r="209" spans="1:15" ht="18.600000000000001" thickBot="1" x14ac:dyDescent="0.5">
      <c r="A209" s="12" t="s">
        <v>19</v>
      </c>
      <c r="B209" s="12"/>
      <c r="C209" s="12"/>
      <c r="D209" s="12"/>
      <c r="E209" s="15">
        <f>-((E206-E204)/E207)</f>
        <v>12.348925817500003</v>
      </c>
      <c r="F209" s="3" t="s">
        <v>20</v>
      </c>
      <c r="J209">
        <v>207</v>
      </c>
      <c r="K209" s="24" t="s">
        <v>250</v>
      </c>
      <c r="L209" s="23">
        <f t="shared" si="122"/>
        <v>105974</v>
      </c>
      <c r="M209" s="23">
        <f t="shared" si="120"/>
        <v>94378</v>
      </c>
      <c r="N209" s="23">
        <f t="shared" si="125"/>
        <v>11596</v>
      </c>
      <c r="O209" s="23">
        <f t="shared" si="123"/>
        <v>21313838</v>
      </c>
    </row>
    <row r="210" spans="1:15" x14ac:dyDescent="0.45">
      <c r="A210" s="3"/>
      <c r="B210" s="3"/>
      <c r="C210" s="3"/>
      <c r="D210" s="3"/>
      <c r="E210" s="3"/>
      <c r="F210" s="3"/>
      <c r="J210">
        <v>208</v>
      </c>
      <c r="K210" s="24" t="s">
        <v>251</v>
      </c>
      <c r="L210" s="23">
        <f t="shared" si="122"/>
        <v>105974</v>
      </c>
      <c r="M210" s="23">
        <f t="shared" si="120"/>
        <v>94430</v>
      </c>
      <c r="N210" s="23">
        <f t="shared" si="125"/>
        <v>11544</v>
      </c>
      <c r="O210" s="23">
        <f t="shared" si="123"/>
        <v>21219408</v>
      </c>
    </row>
    <row r="211" spans="1:15" ht="18.600000000000001" thickBot="1" x14ac:dyDescent="0.5">
      <c r="A211" s="3"/>
      <c r="B211" s="3"/>
      <c r="D211" s="3"/>
      <c r="E211" s="3"/>
      <c r="F211" s="3"/>
      <c r="J211">
        <v>209</v>
      </c>
      <c r="K211" s="24" t="s">
        <v>252</v>
      </c>
      <c r="L211" s="23">
        <f t="shared" si="122"/>
        <v>105974</v>
      </c>
      <c r="M211" s="23">
        <f t="shared" si="120"/>
        <v>94481</v>
      </c>
      <c r="N211" s="23">
        <f t="shared" si="125"/>
        <v>11493</v>
      </c>
      <c r="O211" s="23">
        <f t="shared" si="123"/>
        <v>21124927</v>
      </c>
    </row>
    <row r="212" spans="1:15" ht="18.600000000000001" thickBot="1" x14ac:dyDescent="0.5">
      <c r="A212" s="10" t="s">
        <v>4</v>
      </c>
      <c r="B212" s="3"/>
      <c r="C212" s="3"/>
      <c r="D212" s="3"/>
      <c r="E212" s="4" t="s">
        <v>1</v>
      </c>
      <c r="F212" s="4"/>
      <c r="G212" s="38" t="s">
        <v>508</v>
      </c>
      <c r="H212" s="42">
        <f t="shared" ref="H212" si="132">H191+1</f>
        <v>11</v>
      </c>
      <c r="I212" t="s">
        <v>509</v>
      </c>
      <c r="J212">
        <v>210</v>
      </c>
      <c r="K212" s="24" t="s">
        <v>253</v>
      </c>
      <c r="L212" s="23">
        <f t="shared" si="122"/>
        <v>105974</v>
      </c>
      <c r="M212" s="23">
        <f t="shared" si="120"/>
        <v>94532</v>
      </c>
      <c r="N212" s="23">
        <f t="shared" si="125"/>
        <v>11442</v>
      </c>
      <c r="O212" s="23">
        <f t="shared" si="123"/>
        <v>21030395</v>
      </c>
    </row>
    <row r="213" spans="1:15" ht="18.600000000000001" thickBot="1" x14ac:dyDescent="0.5">
      <c r="A213" s="133" t="s">
        <v>5</v>
      </c>
      <c r="B213" s="133"/>
      <c r="C213" s="133"/>
      <c r="D213" s="133"/>
      <c r="E213" s="11" t="s">
        <v>0</v>
      </c>
      <c r="F213" s="3"/>
      <c r="G213" s="36" t="s">
        <v>464</v>
      </c>
      <c r="H213" s="37">
        <f t="shared" ref="H213:H218" si="133">H192</f>
        <v>3980</v>
      </c>
      <c r="I213" t="s">
        <v>465</v>
      </c>
      <c r="J213">
        <v>211</v>
      </c>
      <c r="K213" s="24" t="s">
        <v>254</v>
      </c>
      <c r="L213" s="23">
        <f t="shared" si="122"/>
        <v>105974</v>
      </c>
      <c r="M213" s="23">
        <f t="shared" si="120"/>
        <v>94583</v>
      </c>
      <c r="N213" s="23">
        <f t="shared" si="125"/>
        <v>11391</v>
      </c>
      <c r="O213" s="23">
        <f t="shared" si="123"/>
        <v>20935812</v>
      </c>
    </row>
    <row r="214" spans="1:15" ht="18.600000000000001" thickBot="1" x14ac:dyDescent="0.5">
      <c r="A214" s="85"/>
      <c r="B214" s="87"/>
      <c r="C214" s="127" t="s">
        <v>3</v>
      </c>
      <c r="D214" s="128"/>
      <c r="E214" s="29">
        <f t="shared" ref="E214" si="134">IF(H216="",0,H216)</f>
        <v>0</v>
      </c>
      <c r="F214" s="3"/>
      <c r="G214" s="25" t="s">
        <v>466</v>
      </c>
      <c r="H214" s="43">
        <f t="shared" si="133"/>
        <v>0.65</v>
      </c>
      <c r="I214" t="s">
        <v>469</v>
      </c>
      <c r="J214">
        <v>212</v>
      </c>
      <c r="K214" s="24" t="s">
        <v>255</v>
      </c>
      <c r="L214" s="23">
        <f t="shared" si="122"/>
        <v>105974</v>
      </c>
      <c r="M214" s="23">
        <f t="shared" si="120"/>
        <v>94634</v>
      </c>
      <c r="N214" s="23">
        <f t="shared" si="125"/>
        <v>11340</v>
      </c>
      <c r="O214" s="23">
        <f t="shared" si="123"/>
        <v>20841178</v>
      </c>
    </row>
    <row r="215" spans="1:15" ht="18.600000000000001" thickBot="1" x14ac:dyDescent="0.5">
      <c r="A215" s="86"/>
      <c r="B215" s="88"/>
      <c r="C215" s="127" t="s">
        <v>6</v>
      </c>
      <c r="D215" s="128"/>
      <c r="E215" s="19">
        <f>IF(H219="",$H$7*0.06,H219)</f>
        <v>238.79999999999998</v>
      </c>
      <c r="F215" s="3"/>
      <c r="G215" s="25" t="s">
        <v>467</v>
      </c>
      <c r="H215" s="37">
        <f t="shared" si="133"/>
        <v>35</v>
      </c>
      <c r="I215" t="s">
        <v>468</v>
      </c>
      <c r="J215">
        <v>213</v>
      </c>
      <c r="K215" s="24" t="s">
        <v>256</v>
      </c>
      <c r="L215" s="23">
        <f t="shared" si="122"/>
        <v>105974</v>
      </c>
      <c r="M215" s="23">
        <f t="shared" si="120"/>
        <v>94686</v>
      </c>
      <c r="N215" s="23">
        <f t="shared" si="125"/>
        <v>11288</v>
      </c>
      <c r="O215" s="23">
        <f t="shared" si="123"/>
        <v>20746492</v>
      </c>
    </row>
    <row r="216" spans="1:15" ht="18.600000000000001" thickBot="1" x14ac:dyDescent="0.5">
      <c r="A216" s="86"/>
      <c r="B216" s="91" t="s">
        <v>7</v>
      </c>
      <c r="C216" s="92"/>
      <c r="D216" s="92"/>
      <c r="E216" s="19">
        <f t="shared" ref="E216" si="135">SUM(E214:E215)</f>
        <v>238.79999999999998</v>
      </c>
      <c r="F216" s="3"/>
      <c r="G216" s="28" t="s">
        <v>3</v>
      </c>
      <c r="H216" s="37">
        <f t="shared" si="133"/>
        <v>0</v>
      </c>
      <c r="I216" t="s">
        <v>465</v>
      </c>
      <c r="J216">
        <v>214</v>
      </c>
      <c r="K216" s="24" t="s">
        <v>257</v>
      </c>
      <c r="L216" s="23">
        <f t="shared" si="122"/>
        <v>105974</v>
      </c>
      <c r="M216" s="23">
        <f t="shared" si="120"/>
        <v>94737</v>
      </c>
      <c r="N216" s="23">
        <f t="shared" si="125"/>
        <v>11237</v>
      </c>
      <c r="O216" s="23">
        <f t="shared" si="123"/>
        <v>20651755</v>
      </c>
    </row>
    <row r="217" spans="1:15" ht="18.600000000000001" thickBot="1" x14ac:dyDescent="0.5">
      <c r="A217" s="86"/>
      <c r="B217" s="7"/>
      <c r="C217" s="5" t="s">
        <v>8</v>
      </c>
      <c r="D217" s="5"/>
      <c r="E217" s="49">
        <f>_xlfn.SWITCH(H212,1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1398.8568</v>
      </c>
      <c r="F217" s="3"/>
      <c r="G217" s="28" t="s">
        <v>16</v>
      </c>
      <c r="H217" s="37">
        <f>真実の家賃!$I$8*AD13</f>
        <v>2967.3111111111111</v>
      </c>
      <c r="I217" t="s">
        <v>465</v>
      </c>
      <c r="J217">
        <v>215</v>
      </c>
      <c r="K217" s="24" t="s">
        <v>258</v>
      </c>
      <c r="L217" s="23">
        <f t="shared" si="122"/>
        <v>105974</v>
      </c>
      <c r="M217" s="23">
        <f t="shared" si="120"/>
        <v>94788</v>
      </c>
      <c r="N217" s="23">
        <f t="shared" si="125"/>
        <v>11186</v>
      </c>
      <c r="O217" s="23">
        <f t="shared" si="123"/>
        <v>20556967</v>
      </c>
    </row>
    <row r="218" spans="1:15" ht="18.600000000000001" thickBot="1" x14ac:dyDescent="0.5">
      <c r="A218" s="86"/>
      <c r="B218" s="8"/>
      <c r="C218" s="127" t="s">
        <v>2</v>
      </c>
      <c r="D218" s="128"/>
      <c r="E218" s="19">
        <f t="shared" ref="E218" si="136">IF(H220="",H212*15,H220)</f>
        <v>165</v>
      </c>
      <c r="F218" s="3"/>
      <c r="G218" s="56" t="s">
        <v>573</v>
      </c>
      <c r="H218" s="40" t="str">
        <f t="shared" si="133"/>
        <v/>
      </c>
      <c r="I218" t="s">
        <v>465</v>
      </c>
      <c r="J218">
        <v>216</v>
      </c>
      <c r="K218" s="24" t="s">
        <v>259</v>
      </c>
      <c r="L218" s="23">
        <f t="shared" si="122"/>
        <v>105974</v>
      </c>
      <c r="M218" s="23">
        <f t="shared" si="120"/>
        <v>94839</v>
      </c>
      <c r="N218" s="23">
        <f t="shared" si="125"/>
        <v>11135</v>
      </c>
      <c r="O218" s="23">
        <f t="shared" si="123"/>
        <v>20462128</v>
      </c>
    </row>
    <row r="219" spans="1:15" ht="18.600000000000001" thickBot="1" x14ac:dyDescent="0.5">
      <c r="A219" s="86"/>
      <c r="B219" s="8"/>
      <c r="C219" s="129" t="s">
        <v>9</v>
      </c>
      <c r="D219" s="129"/>
      <c r="E219" s="19">
        <f t="shared" ref="E219" si="137">_xlfn.SWITCH(H212,1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-258.48479789999999</v>
      </c>
      <c r="F219" s="3"/>
      <c r="G219" s="34" t="s">
        <v>6</v>
      </c>
      <c r="H219" s="40" t="str">
        <f t="shared" si="101"/>
        <v/>
      </c>
      <c r="I219" t="s">
        <v>465</v>
      </c>
      <c r="J219">
        <v>217</v>
      </c>
      <c r="K219" s="24" t="s">
        <v>260</v>
      </c>
      <c r="L219" s="23">
        <f t="shared" si="122"/>
        <v>105974</v>
      </c>
      <c r="M219" s="23">
        <f t="shared" si="120"/>
        <v>94891</v>
      </c>
      <c r="N219" s="23">
        <f t="shared" si="125"/>
        <v>11083</v>
      </c>
      <c r="O219" s="23">
        <f t="shared" si="123"/>
        <v>20367237</v>
      </c>
    </row>
    <row r="220" spans="1:15" ht="18.600000000000001" thickBot="1" x14ac:dyDescent="0.5">
      <c r="A220" s="86"/>
      <c r="B220" s="8"/>
      <c r="C220" s="130" t="s">
        <v>10</v>
      </c>
      <c r="D220" s="131"/>
      <c r="E220" s="19">
        <f t="shared" ref="E220" si="138">IF(H218="",$AA$3,H212*H218)</f>
        <v>0</v>
      </c>
      <c r="F220" s="3"/>
      <c r="G220" s="28" t="s">
        <v>560</v>
      </c>
      <c r="H220" s="40" t="str">
        <f t="shared" si="101"/>
        <v/>
      </c>
      <c r="I220" t="s">
        <v>465</v>
      </c>
      <c r="J220">
        <v>218</v>
      </c>
      <c r="K220" s="24" t="s">
        <v>261</v>
      </c>
      <c r="L220" s="23">
        <f t="shared" si="122"/>
        <v>105974</v>
      </c>
      <c r="M220" s="23">
        <f t="shared" si="120"/>
        <v>94942</v>
      </c>
      <c r="N220" s="23">
        <f t="shared" si="125"/>
        <v>11032</v>
      </c>
      <c r="O220" s="23">
        <f t="shared" si="123"/>
        <v>20272295</v>
      </c>
    </row>
    <row r="221" spans="1:15" ht="18.600000000000001" thickBot="1" x14ac:dyDescent="0.5">
      <c r="A221" s="86"/>
      <c r="B221" s="132" t="s">
        <v>11</v>
      </c>
      <c r="C221" s="126"/>
      <c r="D221" s="126"/>
      <c r="E221" s="19">
        <f t="shared" ref="E221" si="139">SUM(E217:E220)</f>
        <v>1305.3720020999999</v>
      </c>
      <c r="F221" s="3"/>
      <c r="G221" s="33" t="s">
        <v>561</v>
      </c>
      <c r="H221" s="41" t="str">
        <f t="shared" si="101"/>
        <v/>
      </c>
      <c r="I221" t="s">
        <v>465</v>
      </c>
      <c r="J221">
        <v>219</v>
      </c>
      <c r="K221" s="24" t="s">
        <v>262</v>
      </c>
      <c r="L221" s="23">
        <f t="shared" si="122"/>
        <v>105974</v>
      </c>
      <c r="M221" s="23">
        <f t="shared" si="120"/>
        <v>94994</v>
      </c>
      <c r="N221" s="23">
        <f t="shared" si="125"/>
        <v>10980</v>
      </c>
      <c r="O221" s="23">
        <f t="shared" si="123"/>
        <v>20177301</v>
      </c>
    </row>
    <row r="222" spans="1:15" ht="18.600000000000001" thickBot="1" x14ac:dyDescent="0.5">
      <c r="A222" s="86"/>
      <c r="B222" s="7"/>
      <c r="C222" s="127" t="s">
        <v>12</v>
      </c>
      <c r="D222" s="128"/>
      <c r="E222" s="19">
        <f t="shared" ref="E222" si="140">_xlfn.SWITCH(H212,1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2825.2280000000001</v>
      </c>
      <c r="F222" s="3"/>
      <c r="G222" s="32"/>
      <c r="J222">
        <v>220</v>
      </c>
      <c r="K222" s="24" t="s">
        <v>263</v>
      </c>
      <c r="L222" s="23">
        <f t="shared" si="122"/>
        <v>105974</v>
      </c>
      <c r="M222" s="23">
        <f t="shared" si="120"/>
        <v>95045</v>
      </c>
      <c r="N222" s="23">
        <f t="shared" si="125"/>
        <v>10929</v>
      </c>
      <c r="O222" s="23">
        <f t="shared" si="123"/>
        <v>20082256</v>
      </c>
    </row>
    <row r="223" spans="1:15" ht="18.600000000000001" thickBot="1" x14ac:dyDescent="0.5">
      <c r="A223" s="86"/>
      <c r="B223" s="8"/>
      <c r="C223" s="127" t="s">
        <v>13</v>
      </c>
      <c r="D223" s="128"/>
      <c r="E223" s="19">
        <f t="shared" ref="E223" si="141">IF(H221="",H217*0.05,H221)</f>
        <v>148.36555555555557</v>
      </c>
      <c r="F223" s="3"/>
      <c r="G223" s="30"/>
      <c r="J223">
        <v>221</v>
      </c>
      <c r="K223" s="24" t="s">
        <v>264</v>
      </c>
      <c r="L223" s="23">
        <f t="shared" si="122"/>
        <v>105974</v>
      </c>
      <c r="M223" s="23">
        <f t="shared" si="120"/>
        <v>95097</v>
      </c>
      <c r="N223" s="23">
        <f t="shared" si="125"/>
        <v>10877</v>
      </c>
      <c r="O223" s="23">
        <f t="shared" si="123"/>
        <v>19987159</v>
      </c>
    </row>
    <row r="224" spans="1:15" ht="18.600000000000001" thickBot="1" x14ac:dyDescent="0.5">
      <c r="A224" s="86"/>
      <c r="B224" s="132" t="s">
        <v>14</v>
      </c>
      <c r="C224" s="126"/>
      <c r="D224" s="126"/>
      <c r="E224" s="19">
        <f t="shared" ref="E224" si="142">SUM(E222:E223)</f>
        <v>2973.5935555555557</v>
      </c>
      <c r="F224" s="3"/>
      <c r="G224" s="30"/>
      <c r="J224">
        <v>222</v>
      </c>
      <c r="K224" s="24" t="s">
        <v>265</v>
      </c>
      <c r="L224" s="23">
        <f t="shared" si="122"/>
        <v>105974</v>
      </c>
      <c r="M224" s="23">
        <f t="shared" si="120"/>
        <v>95148</v>
      </c>
      <c r="N224" s="23">
        <f t="shared" si="125"/>
        <v>10826</v>
      </c>
      <c r="O224" s="23">
        <f t="shared" si="123"/>
        <v>19892011</v>
      </c>
    </row>
    <row r="225" spans="1:15" ht="18.600000000000001" thickBot="1" x14ac:dyDescent="0.5">
      <c r="A225" s="97" t="s">
        <v>15</v>
      </c>
      <c r="B225" s="98"/>
      <c r="C225" s="98"/>
      <c r="D225" s="99"/>
      <c r="E225" s="20">
        <f t="shared" ref="E225" si="143">E216+E221+E224</f>
        <v>4517.7655576555553</v>
      </c>
      <c r="F225" s="3"/>
      <c r="G225" s="30"/>
      <c r="J225">
        <v>223</v>
      </c>
      <c r="K225" s="24" t="s">
        <v>266</v>
      </c>
      <c r="L225" s="23">
        <f t="shared" si="122"/>
        <v>105974</v>
      </c>
      <c r="M225" s="23">
        <f t="shared" si="120"/>
        <v>95200</v>
      </c>
      <c r="N225" s="23">
        <f t="shared" si="125"/>
        <v>10774</v>
      </c>
      <c r="O225" s="23">
        <f t="shared" si="123"/>
        <v>19796811</v>
      </c>
    </row>
    <row r="226" spans="1:15" ht="18.600000000000001" thickBot="1" x14ac:dyDescent="0.5">
      <c r="A226" s="6"/>
      <c r="B226" s="126" t="s">
        <v>16</v>
      </c>
      <c r="C226" s="126"/>
      <c r="D226" s="126"/>
      <c r="E226" s="19">
        <f t="shared" ref="E226" si="144">H217</f>
        <v>2967.3111111111111</v>
      </c>
      <c r="F226" s="3"/>
      <c r="J226">
        <v>224</v>
      </c>
      <c r="K226" s="24" t="s">
        <v>267</v>
      </c>
      <c r="L226" s="23">
        <f t="shared" si="122"/>
        <v>105974</v>
      </c>
      <c r="M226" s="23">
        <f t="shared" si="120"/>
        <v>95251</v>
      </c>
      <c r="N226" s="23">
        <f t="shared" si="125"/>
        <v>10723</v>
      </c>
      <c r="O226" s="23">
        <f t="shared" si="123"/>
        <v>19701560</v>
      </c>
    </row>
    <row r="227" spans="1:15" ht="18.600000000000001" thickBot="1" x14ac:dyDescent="0.5">
      <c r="A227" s="97" t="s">
        <v>17</v>
      </c>
      <c r="B227" s="98"/>
      <c r="C227" s="98"/>
      <c r="D227" s="99"/>
      <c r="E227" s="20">
        <f t="shared" ref="E227" si="145">E226</f>
        <v>2967.3111111111111</v>
      </c>
      <c r="F227" s="3"/>
      <c r="J227">
        <v>225</v>
      </c>
      <c r="K227" s="24" t="s">
        <v>268</v>
      </c>
      <c r="L227" s="23">
        <f t="shared" si="122"/>
        <v>105974</v>
      </c>
      <c r="M227" s="23">
        <f t="shared" si="120"/>
        <v>95303</v>
      </c>
      <c r="N227" s="23">
        <f t="shared" si="125"/>
        <v>10671</v>
      </c>
      <c r="O227" s="23">
        <f t="shared" si="123"/>
        <v>19606257</v>
      </c>
    </row>
    <row r="228" spans="1:15" ht="18.600000000000001" thickBot="1" x14ac:dyDescent="0.5">
      <c r="A228" s="96" t="s">
        <v>18</v>
      </c>
      <c r="B228" s="96"/>
      <c r="C228" s="96"/>
      <c r="D228" s="96"/>
      <c r="E228" s="14">
        <f t="shared" ref="E228" si="146">12*H212</f>
        <v>132</v>
      </c>
      <c r="F228" s="3"/>
      <c r="J228">
        <v>226</v>
      </c>
      <c r="K228" s="24" t="s">
        <v>269</v>
      </c>
      <c r="L228" s="23">
        <f t="shared" si="122"/>
        <v>105974</v>
      </c>
      <c r="M228" s="23">
        <f t="shared" si="120"/>
        <v>95354</v>
      </c>
      <c r="N228" s="23">
        <f t="shared" si="125"/>
        <v>10620</v>
      </c>
      <c r="O228" s="23">
        <f t="shared" si="123"/>
        <v>19510903</v>
      </c>
    </row>
    <row r="229" spans="1:15" ht="18.600000000000001" thickBot="1" x14ac:dyDescent="0.5">
      <c r="A229" s="3"/>
      <c r="B229" s="3"/>
      <c r="C229" s="3"/>
      <c r="D229" s="3"/>
      <c r="E229" s="3"/>
      <c r="F229" s="3"/>
      <c r="J229">
        <v>227</v>
      </c>
      <c r="K229" s="24" t="s">
        <v>270</v>
      </c>
      <c r="L229" s="23">
        <f t="shared" si="122"/>
        <v>105974</v>
      </c>
      <c r="M229" s="23">
        <f t="shared" si="120"/>
        <v>95406</v>
      </c>
      <c r="N229" s="23">
        <f t="shared" si="125"/>
        <v>10568</v>
      </c>
      <c r="O229" s="23">
        <f t="shared" si="123"/>
        <v>19415497</v>
      </c>
    </row>
    <row r="230" spans="1:15" ht="18.600000000000001" thickBot="1" x14ac:dyDescent="0.5">
      <c r="A230" s="12" t="s">
        <v>19</v>
      </c>
      <c r="B230" s="12"/>
      <c r="C230" s="12"/>
      <c r="D230" s="12"/>
      <c r="E230" s="15">
        <f t="shared" ref="E230" si="147">-((E227-E225)/E228)</f>
        <v>11.745867019276092</v>
      </c>
      <c r="F230" s="3" t="s">
        <v>20</v>
      </c>
      <c r="J230">
        <v>228</v>
      </c>
      <c r="K230" s="24" t="s">
        <v>271</v>
      </c>
      <c r="L230" s="23">
        <f t="shared" si="122"/>
        <v>105974</v>
      </c>
      <c r="M230" s="23">
        <f t="shared" si="120"/>
        <v>95458</v>
      </c>
      <c r="N230" s="23">
        <f t="shared" si="125"/>
        <v>10516</v>
      </c>
      <c r="O230" s="23">
        <f t="shared" si="123"/>
        <v>19320039</v>
      </c>
    </row>
    <row r="231" spans="1:15" x14ac:dyDescent="0.45">
      <c r="A231" s="3"/>
      <c r="B231" s="3"/>
      <c r="C231" s="3"/>
      <c r="D231" s="3"/>
      <c r="E231" s="3"/>
      <c r="F231" s="3"/>
      <c r="J231">
        <v>229</v>
      </c>
      <c r="K231" s="24" t="s">
        <v>272</v>
      </c>
      <c r="L231" s="23">
        <f t="shared" si="122"/>
        <v>105974</v>
      </c>
      <c r="M231" s="23">
        <f t="shared" si="120"/>
        <v>95509</v>
      </c>
      <c r="N231" s="23">
        <f t="shared" si="125"/>
        <v>10465</v>
      </c>
      <c r="O231" s="23">
        <f t="shared" si="123"/>
        <v>19224530</v>
      </c>
    </row>
    <row r="232" spans="1:15" ht="18.600000000000001" thickBot="1" x14ac:dyDescent="0.5">
      <c r="A232" s="3"/>
      <c r="B232" s="3"/>
      <c r="D232" s="3"/>
      <c r="E232" s="3"/>
      <c r="F232" s="3"/>
      <c r="J232">
        <v>230</v>
      </c>
      <c r="K232" s="24" t="s">
        <v>273</v>
      </c>
      <c r="L232" s="23">
        <f t="shared" si="122"/>
        <v>105974</v>
      </c>
      <c r="M232" s="23">
        <f t="shared" si="120"/>
        <v>95561</v>
      </c>
      <c r="N232" s="23">
        <f t="shared" si="125"/>
        <v>10413</v>
      </c>
      <c r="O232" s="23">
        <f t="shared" si="123"/>
        <v>19128969</v>
      </c>
    </row>
    <row r="233" spans="1:15" ht="18.600000000000001" thickBot="1" x14ac:dyDescent="0.5">
      <c r="A233" s="10" t="s">
        <v>4</v>
      </c>
      <c r="B233" s="3"/>
      <c r="C233" s="3"/>
      <c r="D233" s="3"/>
      <c r="E233" s="4" t="s">
        <v>1</v>
      </c>
      <c r="F233" s="4"/>
      <c r="G233" s="38" t="s">
        <v>508</v>
      </c>
      <c r="H233" s="42">
        <f t="shared" ref="H233" si="148">H212+1</f>
        <v>12</v>
      </c>
      <c r="I233" t="s">
        <v>509</v>
      </c>
      <c r="J233">
        <v>231</v>
      </c>
      <c r="K233" s="24" t="s">
        <v>274</v>
      </c>
      <c r="L233" s="23">
        <f t="shared" si="122"/>
        <v>105974</v>
      </c>
      <c r="M233" s="23">
        <f t="shared" si="120"/>
        <v>95613</v>
      </c>
      <c r="N233" s="23">
        <f t="shared" si="125"/>
        <v>10361</v>
      </c>
      <c r="O233" s="23">
        <f t="shared" si="123"/>
        <v>19033356</v>
      </c>
    </row>
    <row r="234" spans="1:15" ht="18.600000000000001" thickBot="1" x14ac:dyDescent="0.5">
      <c r="A234" s="133" t="s">
        <v>5</v>
      </c>
      <c r="B234" s="133"/>
      <c r="C234" s="133"/>
      <c r="D234" s="133"/>
      <c r="E234" s="11" t="s">
        <v>0</v>
      </c>
      <c r="F234" s="3"/>
      <c r="G234" s="36" t="s">
        <v>464</v>
      </c>
      <c r="H234" s="37">
        <f t="shared" ref="H234:H284" si="149">H213</f>
        <v>3980</v>
      </c>
      <c r="I234" t="s">
        <v>465</v>
      </c>
      <c r="J234">
        <v>232</v>
      </c>
      <c r="K234" s="24" t="s">
        <v>275</v>
      </c>
      <c r="L234" s="23">
        <f t="shared" si="122"/>
        <v>105974</v>
      </c>
      <c r="M234" s="23">
        <f t="shared" si="120"/>
        <v>95665</v>
      </c>
      <c r="N234" s="23">
        <f t="shared" si="125"/>
        <v>10309</v>
      </c>
      <c r="O234" s="23">
        <f t="shared" si="123"/>
        <v>18937691</v>
      </c>
    </row>
    <row r="235" spans="1:15" ht="18.600000000000001" thickBot="1" x14ac:dyDescent="0.5">
      <c r="A235" s="85"/>
      <c r="B235" s="87"/>
      <c r="C235" s="127" t="s">
        <v>3</v>
      </c>
      <c r="D235" s="128"/>
      <c r="E235" s="29">
        <f t="shared" ref="E235" si="150">IF(H237="",0,H237)</f>
        <v>0</v>
      </c>
      <c r="F235" s="3"/>
      <c r="G235" s="25" t="s">
        <v>466</v>
      </c>
      <c r="H235" s="43">
        <f t="shared" si="149"/>
        <v>0.65</v>
      </c>
      <c r="I235" t="s">
        <v>469</v>
      </c>
      <c r="J235">
        <v>233</v>
      </c>
      <c r="K235" s="24" t="s">
        <v>276</v>
      </c>
      <c r="L235" s="23">
        <f t="shared" si="122"/>
        <v>105974</v>
      </c>
      <c r="M235" s="23">
        <f t="shared" si="120"/>
        <v>95717</v>
      </c>
      <c r="N235" s="23">
        <f t="shared" si="125"/>
        <v>10257</v>
      </c>
      <c r="O235" s="23">
        <f t="shared" si="123"/>
        <v>18841974</v>
      </c>
    </row>
    <row r="236" spans="1:15" ht="18.600000000000001" thickBot="1" x14ac:dyDescent="0.5">
      <c r="A236" s="86"/>
      <c r="B236" s="88"/>
      <c r="C236" s="127" t="s">
        <v>6</v>
      </c>
      <c r="D236" s="128"/>
      <c r="E236" s="19">
        <f>IF(H240="",$H$7*0.06,H240)</f>
        <v>238.79999999999998</v>
      </c>
      <c r="F236" s="3"/>
      <c r="G236" s="25" t="s">
        <v>467</v>
      </c>
      <c r="H236" s="37">
        <f t="shared" si="149"/>
        <v>35</v>
      </c>
      <c r="I236" t="s">
        <v>468</v>
      </c>
      <c r="J236">
        <v>234</v>
      </c>
      <c r="K236" s="24" t="s">
        <v>277</v>
      </c>
      <c r="L236" s="23">
        <f t="shared" si="122"/>
        <v>105974</v>
      </c>
      <c r="M236" s="23">
        <f t="shared" si="120"/>
        <v>95768</v>
      </c>
      <c r="N236" s="23">
        <f t="shared" si="125"/>
        <v>10206</v>
      </c>
      <c r="O236" s="23">
        <f t="shared" si="123"/>
        <v>18746206</v>
      </c>
    </row>
    <row r="237" spans="1:15" ht="18.600000000000001" thickBot="1" x14ac:dyDescent="0.5">
      <c r="A237" s="86"/>
      <c r="B237" s="91" t="s">
        <v>7</v>
      </c>
      <c r="C237" s="92"/>
      <c r="D237" s="92"/>
      <c r="E237" s="19">
        <f t="shared" ref="E237" si="151">SUM(E235:E236)</f>
        <v>238.79999999999998</v>
      </c>
      <c r="F237" s="3"/>
      <c r="G237" s="28" t="s">
        <v>3</v>
      </c>
      <c r="H237" s="37">
        <f t="shared" si="149"/>
        <v>0</v>
      </c>
      <c r="I237" t="s">
        <v>465</v>
      </c>
      <c r="J237">
        <v>235</v>
      </c>
      <c r="K237" s="24" t="s">
        <v>278</v>
      </c>
      <c r="L237" s="23">
        <f t="shared" si="122"/>
        <v>105974</v>
      </c>
      <c r="M237" s="23">
        <f t="shared" si="120"/>
        <v>95820</v>
      </c>
      <c r="N237" s="23">
        <f t="shared" si="125"/>
        <v>10154</v>
      </c>
      <c r="O237" s="23">
        <f t="shared" si="123"/>
        <v>18650386</v>
      </c>
    </row>
    <row r="238" spans="1:15" ht="18.600000000000001" thickBot="1" x14ac:dyDescent="0.5">
      <c r="A238" s="86"/>
      <c r="B238" s="7"/>
      <c r="C238" s="5" t="s">
        <v>8</v>
      </c>
      <c r="D238" s="5"/>
      <c r="E238" s="49">
        <f>_xlfn.SWITCH(H233,1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1526.0255999999999</v>
      </c>
      <c r="F238" s="3"/>
      <c r="G238" s="28" t="s">
        <v>16</v>
      </c>
      <c r="H238" s="37">
        <f>真実の家賃!$I$8*AD14</f>
        <v>2909.8222222222221</v>
      </c>
      <c r="I238" t="s">
        <v>465</v>
      </c>
      <c r="J238">
        <v>236</v>
      </c>
      <c r="K238" s="24" t="s">
        <v>279</v>
      </c>
      <c r="L238" s="23">
        <f t="shared" si="122"/>
        <v>105974</v>
      </c>
      <c r="M238" s="23">
        <f t="shared" si="120"/>
        <v>95872</v>
      </c>
      <c r="N238" s="23">
        <f t="shared" si="125"/>
        <v>10102</v>
      </c>
      <c r="O238" s="23">
        <f t="shared" si="123"/>
        <v>18554514</v>
      </c>
    </row>
    <row r="239" spans="1:15" ht="18.600000000000001" thickBot="1" x14ac:dyDescent="0.5">
      <c r="A239" s="86"/>
      <c r="B239" s="8"/>
      <c r="C239" s="127" t="s">
        <v>2</v>
      </c>
      <c r="D239" s="128"/>
      <c r="E239" s="19">
        <f t="shared" ref="E239" si="152">IF(H241="",H233*15,H241)</f>
        <v>180</v>
      </c>
      <c r="F239" s="3"/>
      <c r="G239" s="56" t="s">
        <v>573</v>
      </c>
      <c r="H239" s="40" t="str">
        <f t="shared" si="149"/>
        <v/>
      </c>
      <c r="I239" t="s">
        <v>465</v>
      </c>
      <c r="J239">
        <v>237</v>
      </c>
      <c r="K239" s="24" t="s">
        <v>280</v>
      </c>
      <c r="L239" s="23">
        <f t="shared" si="122"/>
        <v>105974</v>
      </c>
      <c r="M239" s="23">
        <f t="shared" si="120"/>
        <v>95924</v>
      </c>
      <c r="N239" s="23">
        <f t="shared" si="125"/>
        <v>10050</v>
      </c>
      <c r="O239" s="23">
        <f t="shared" si="123"/>
        <v>18458590</v>
      </c>
    </row>
    <row r="240" spans="1:15" ht="18.600000000000001" thickBot="1" x14ac:dyDescent="0.5">
      <c r="A240" s="86"/>
      <c r="B240" s="8"/>
      <c r="C240" s="129" t="s">
        <v>9</v>
      </c>
      <c r="D240" s="129"/>
      <c r="E240" s="19">
        <f t="shared" ref="E240" si="153">_xlfn.SWITCH(H233,1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-277.49748249999999</v>
      </c>
      <c r="F240" s="3"/>
      <c r="G240" s="34" t="s">
        <v>6</v>
      </c>
      <c r="H240" s="40" t="str">
        <f t="shared" si="149"/>
        <v/>
      </c>
      <c r="I240" t="s">
        <v>465</v>
      </c>
      <c r="J240">
        <v>238</v>
      </c>
      <c r="K240" s="24" t="s">
        <v>281</v>
      </c>
      <c r="L240" s="23">
        <f t="shared" si="122"/>
        <v>105974</v>
      </c>
      <c r="M240" s="23">
        <f t="shared" si="120"/>
        <v>95976</v>
      </c>
      <c r="N240" s="23">
        <f t="shared" si="125"/>
        <v>9998</v>
      </c>
      <c r="O240" s="23">
        <f t="shared" si="123"/>
        <v>18362614</v>
      </c>
    </row>
    <row r="241" spans="1:15" ht="18.600000000000001" thickBot="1" x14ac:dyDescent="0.5">
      <c r="A241" s="86"/>
      <c r="B241" s="8"/>
      <c r="C241" s="130" t="s">
        <v>10</v>
      </c>
      <c r="D241" s="131"/>
      <c r="E241" s="19">
        <f t="shared" ref="E241" si="154">IF(H239="",$AA$3,H233*H239)</f>
        <v>0</v>
      </c>
      <c r="F241" s="3"/>
      <c r="G241" s="28" t="s">
        <v>560</v>
      </c>
      <c r="H241" s="40" t="str">
        <f t="shared" si="149"/>
        <v/>
      </c>
      <c r="I241" t="s">
        <v>465</v>
      </c>
      <c r="J241">
        <v>239</v>
      </c>
      <c r="K241" s="24" t="s">
        <v>282</v>
      </c>
      <c r="L241" s="23">
        <f t="shared" si="122"/>
        <v>105974</v>
      </c>
      <c r="M241" s="23">
        <f t="shared" si="120"/>
        <v>96028</v>
      </c>
      <c r="N241" s="23">
        <f t="shared" si="125"/>
        <v>9946</v>
      </c>
      <c r="O241" s="23">
        <f t="shared" si="123"/>
        <v>18266586</v>
      </c>
    </row>
    <row r="242" spans="1:15" ht="18.600000000000001" thickBot="1" x14ac:dyDescent="0.5">
      <c r="A242" s="86"/>
      <c r="B242" s="132" t="s">
        <v>11</v>
      </c>
      <c r="C242" s="126"/>
      <c r="D242" s="126"/>
      <c r="E242" s="19">
        <f t="shared" ref="E242" si="155">SUM(E238:E241)</f>
        <v>1428.5281175</v>
      </c>
      <c r="F242" s="3"/>
      <c r="G242" s="33" t="s">
        <v>561</v>
      </c>
      <c r="H242" s="41" t="str">
        <f t="shared" si="149"/>
        <v/>
      </c>
      <c r="I242" t="s">
        <v>465</v>
      </c>
      <c r="J242">
        <v>240</v>
      </c>
      <c r="K242" s="24" t="s">
        <v>283</v>
      </c>
      <c r="L242" s="23">
        <f t="shared" si="122"/>
        <v>105974</v>
      </c>
      <c r="M242" s="23">
        <f t="shared" si="120"/>
        <v>96080</v>
      </c>
      <c r="N242" s="23">
        <f t="shared" si="125"/>
        <v>9894</v>
      </c>
      <c r="O242" s="23">
        <f t="shared" si="123"/>
        <v>18170506</v>
      </c>
    </row>
    <row r="243" spans="1:15" ht="18.600000000000001" thickBot="1" x14ac:dyDescent="0.5">
      <c r="A243" s="86"/>
      <c r="B243" s="7"/>
      <c r="C243" s="127" t="s">
        <v>12</v>
      </c>
      <c r="D243" s="128"/>
      <c r="E243" s="19">
        <f t="shared" ref="E243" si="156">_xlfn.SWITCH(H233,1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2716.0978</v>
      </c>
      <c r="F243" s="3"/>
      <c r="G243" s="32"/>
      <c r="J243">
        <v>241</v>
      </c>
      <c r="K243" s="24" t="s">
        <v>284</v>
      </c>
      <c r="L243" s="23">
        <f t="shared" si="122"/>
        <v>105974</v>
      </c>
      <c r="M243" s="23">
        <f t="shared" si="120"/>
        <v>96132</v>
      </c>
      <c r="N243" s="23">
        <f t="shared" si="125"/>
        <v>9842</v>
      </c>
      <c r="O243" s="23">
        <f t="shared" si="123"/>
        <v>18074374</v>
      </c>
    </row>
    <row r="244" spans="1:15" ht="18.600000000000001" thickBot="1" x14ac:dyDescent="0.5">
      <c r="A244" s="86"/>
      <c r="B244" s="8"/>
      <c r="C244" s="127" t="s">
        <v>13</v>
      </c>
      <c r="D244" s="128"/>
      <c r="E244" s="19">
        <f t="shared" ref="E244" si="157">IF(H242="",H238*0.05,H242)</f>
        <v>145.49111111111111</v>
      </c>
      <c r="F244" s="3"/>
      <c r="G244" s="30"/>
      <c r="J244">
        <v>242</v>
      </c>
      <c r="K244" s="24" t="s">
        <v>285</v>
      </c>
      <c r="L244" s="23">
        <f t="shared" si="122"/>
        <v>105974</v>
      </c>
      <c r="M244" s="23">
        <f t="shared" si="120"/>
        <v>96184</v>
      </c>
      <c r="N244" s="23">
        <f t="shared" si="125"/>
        <v>9790</v>
      </c>
      <c r="O244" s="23">
        <f t="shared" si="123"/>
        <v>17978190</v>
      </c>
    </row>
    <row r="245" spans="1:15" ht="18.600000000000001" thickBot="1" x14ac:dyDescent="0.5">
      <c r="A245" s="86"/>
      <c r="B245" s="132" t="s">
        <v>14</v>
      </c>
      <c r="C245" s="126"/>
      <c r="D245" s="126"/>
      <c r="E245" s="19">
        <f t="shared" ref="E245" si="158">SUM(E243:E244)</f>
        <v>2861.588911111111</v>
      </c>
      <c r="F245" s="3"/>
      <c r="G245" s="30"/>
      <c r="J245">
        <v>243</v>
      </c>
      <c r="K245" s="24" t="s">
        <v>286</v>
      </c>
      <c r="L245" s="23">
        <f t="shared" si="122"/>
        <v>105974</v>
      </c>
      <c r="M245" s="23">
        <f t="shared" si="120"/>
        <v>96236</v>
      </c>
      <c r="N245" s="23">
        <f t="shared" si="125"/>
        <v>9738</v>
      </c>
      <c r="O245" s="23">
        <f t="shared" si="123"/>
        <v>17881954</v>
      </c>
    </row>
    <row r="246" spans="1:15" ht="18.600000000000001" thickBot="1" x14ac:dyDescent="0.5">
      <c r="A246" s="97" t="s">
        <v>15</v>
      </c>
      <c r="B246" s="98"/>
      <c r="C246" s="98"/>
      <c r="D246" s="99"/>
      <c r="E246" s="20">
        <f t="shared" ref="E246" si="159">E237+E242+E245</f>
        <v>4528.9170286111112</v>
      </c>
      <c r="F246" s="3"/>
      <c r="G246" s="30"/>
      <c r="J246">
        <v>244</v>
      </c>
      <c r="K246" s="24" t="s">
        <v>287</v>
      </c>
      <c r="L246" s="23">
        <f t="shared" si="122"/>
        <v>105974</v>
      </c>
      <c r="M246" s="23">
        <f t="shared" si="120"/>
        <v>96288</v>
      </c>
      <c r="N246" s="23">
        <f t="shared" si="125"/>
        <v>9686</v>
      </c>
      <c r="O246" s="23">
        <f t="shared" si="123"/>
        <v>17785666</v>
      </c>
    </row>
    <row r="247" spans="1:15" ht="18.600000000000001" thickBot="1" x14ac:dyDescent="0.5">
      <c r="A247" s="6"/>
      <c r="B247" s="126" t="s">
        <v>16</v>
      </c>
      <c r="C247" s="126"/>
      <c r="D247" s="126"/>
      <c r="E247" s="19">
        <f t="shared" ref="E247" si="160">H238</f>
        <v>2909.8222222222221</v>
      </c>
      <c r="F247" s="3"/>
      <c r="J247">
        <v>245</v>
      </c>
      <c r="K247" s="24" t="s">
        <v>288</v>
      </c>
      <c r="L247" s="23">
        <f t="shared" si="122"/>
        <v>105974</v>
      </c>
      <c r="M247" s="23">
        <f t="shared" si="120"/>
        <v>96341</v>
      </c>
      <c r="N247" s="23">
        <f t="shared" si="125"/>
        <v>9633</v>
      </c>
      <c r="O247" s="23">
        <f t="shared" si="123"/>
        <v>17689325</v>
      </c>
    </row>
    <row r="248" spans="1:15" ht="18.600000000000001" thickBot="1" x14ac:dyDescent="0.5">
      <c r="A248" s="97" t="s">
        <v>17</v>
      </c>
      <c r="B248" s="98"/>
      <c r="C248" s="98"/>
      <c r="D248" s="99"/>
      <c r="E248" s="20">
        <f t="shared" ref="E248" si="161">E247</f>
        <v>2909.8222222222221</v>
      </c>
      <c r="F248" s="3"/>
      <c r="J248">
        <v>246</v>
      </c>
      <c r="K248" s="24" t="s">
        <v>289</v>
      </c>
      <c r="L248" s="23">
        <f t="shared" si="122"/>
        <v>105974</v>
      </c>
      <c r="M248" s="23">
        <f t="shared" si="120"/>
        <v>96393</v>
      </c>
      <c r="N248" s="23">
        <f t="shared" si="125"/>
        <v>9581</v>
      </c>
      <c r="O248" s="23">
        <f t="shared" si="123"/>
        <v>17592932</v>
      </c>
    </row>
    <row r="249" spans="1:15" ht="18.600000000000001" thickBot="1" x14ac:dyDescent="0.5">
      <c r="A249" s="96" t="s">
        <v>18</v>
      </c>
      <c r="B249" s="96"/>
      <c r="C249" s="96"/>
      <c r="D249" s="96"/>
      <c r="E249" s="14">
        <f t="shared" ref="E249" si="162">12*H233</f>
        <v>144</v>
      </c>
      <c r="F249" s="3"/>
      <c r="J249">
        <v>247</v>
      </c>
      <c r="K249" s="24" t="s">
        <v>290</v>
      </c>
      <c r="L249" s="23">
        <f t="shared" si="122"/>
        <v>105974</v>
      </c>
      <c r="M249" s="23">
        <f t="shared" si="120"/>
        <v>96445</v>
      </c>
      <c r="N249" s="23">
        <f t="shared" si="125"/>
        <v>9529</v>
      </c>
      <c r="O249" s="23">
        <f t="shared" si="123"/>
        <v>17496487</v>
      </c>
    </row>
    <row r="250" spans="1:15" ht="18.600000000000001" thickBot="1" x14ac:dyDescent="0.5">
      <c r="A250" s="3"/>
      <c r="B250" s="3"/>
      <c r="C250" s="3"/>
      <c r="D250" s="3"/>
      <c r="E250" s="3"/>
      <c r="F250" s="3"/>
      <c r="J250">
        <v>248</v>
      </c>
      <c r="K250" s="24" t="s">
        <v>291</v>
      </c>
      <c r="L250" s="23">
        <f t="shared" si="122"/>
        <v>105974</v>
      </c>
      <c r="M250" s="23">
        <f t="shared" si="120"/>
        <v>96497</v>
      </c>
      <c r="N250" s="23">
        <f t="shared" si="125"/>
        <v>9477</v>
      </c>
      <c r="O250" s="23">
        <f t="shared" si="123"/>
        <v>17399990</v>
      </c>
    </row>
    <row r="251" spans="1:15" ht="18.600000000000001" thickBot="1" x14ac:dyDescent="0.5">
      <c r="A251" s="12" t="s">
        <v>19</v>
      </c>
      <c r="B251" s="12"/>
      <c r="C251" s="12"/>
      <c r="D251" s="12"/>
      <c r="E251" s="15">
        <f t="shared" ref="E251" si="163">-((E248-E246)/E249)</f>
        <v>11.243713933256174</v>
      </c>
      <c r="F251" s="3" t="s">
        <v>20</v>
      </c>
      <c r="J251">
        <v>249</v>
      </c>
      <c r="K251" s="24" t="s">
        <v>292</v>
      </c>
      <c r="L251" s="23">
        <f t="shared" si="122"/>
        <v>105974</v>
      </c>
      <c r="M251" s="23">
        <f t="shared" si="120"/>
        <v>96550</v>
      </c>
      <c r="N251" s="23">
        <f t="shared" si="125"/>
        <v>9424</v>
      </c>
      <c r="O251" s="23">
        <f t="shared" si="123"/>
        <v>17303440</v>
      </c>
    </row>
    <row r="252" spans="1:15" x14ac:dyDescent="0.45">
      <c r="A252" s="3"/>
      <c r="B252" s="3"/>
      <c r="C252" s="3"/>
      <c r="D252" s="3"/>
      <c r="E252" s="3"/>
      <c r="F252" s="3"/>
      <c r="J252">
        <v>250</v>
      </c>
      <c r="K252" s="24" t="s">
        <v>293</v>
      </c>
      <c r="L252" s="23">
        <f t="shared" si="122"/>
        <v>105974</v>
      </c>
      <c r="M252" s="23">
        <f t="shared" si="120"/>
        <v>96602</v>
      </c>
      <c r="N252" s="23">
        <f t="shared" si="125"/>
        <v>9372</v>
      </c>
      <c r="O252" s="23">
        <f t="shared" si="123"/>
        <v>17206838</v>
      </c>
    </row>
    <row r="253" spans="1:15" ht="18.600000000000001" thickBot="1" x14ac:dyDescent="0.5">
      <c r="A253" s="3"/>
      <c r="B253" s="3"/>
      <c r="D253" s="3"/>
      <c r="E253" s="3"/>
      <c r="F253" s="3"/>
      <c r="J253">
        <v>251</v>
      </c>
      <c r="K253" s="24" t="s">
        <v>294</v>
      </c>
      <c r="L253" s="23">
        <f t="shared" si="122"/>
        <v>105974</v>
      </c>
      <c r="M253" s="23">
        <f t="shared" si="120"/>
        <v>96654</v>
      </c>
      <c r="N253" s="23">
        <f t="shared" si="125"/>
        <v>9320</v>
      </c>
      <c r="O253" s="23">
        <f t="shared" si="123"/>
        <v>17110184</v>
      </c>
    </row>
    <row r="254" spans="1:15" ht="18.600000000000001" thickBot="1" x14ac:dyDescent="0.5">
      <c r="A254" s="10" t="s">
        <v>4</v>
      </c>
      <c r="B254" s="3"/>
      <c r="C254" s="3"/>
      <c r="D254" s="3"/>
      <c r="E254" s="4" t="s">
        <v>1</v>
      </c>
      <c r="F254" s="4"/>
      <c r="G254" s="38" t="s">
        <v>508</v>
      </c>
      <c r="H254" s="42">
        <f t="shared" ref="H254" si="164">H233+1</f>
        <v>13</v>
      </c>
      <c r="I254" t="s">
        <v>509</v>
      </c>
      <c r="J254">
        <v>252</v>
      </c>
      <c r="K254" s="24" t="s">
        <v>295</v>
      </c>
      <c r="L254" s="23">
        <f t="shared" si="122"/>
        <v>105974</v>
      </c>
      <c r="M254" s="23">
        <f t="shared" si="120"/>
        <v>96706</v>
      </c>
      <c r="N254" s="23">
        <f t="shared" si="125"/>
        <v>9268</v>
      </c>
      <c r="O254" s="23">
        <f t="shared" si="123"/>
        <v>17013478</v>
      </c>
    </row>
    <row r="255" spans="1:15" ht="18.600000000000001" thickBot="1" x14ac:dyDescent="0.5">
      <c r="A255" s="133" t="s">
        <v>5</v>
      </c>
      <c r="B255" s="133"/>
      <c r="C255" s="133"/>
      <c r="D255" s="133"/>
      <c r="E255" s="11" t="s">
        <v>0</v>
      </c>
      <c r="F255" s="3"/>
      <c r="G255" s="36" t="s">
        <v>464</v>
      </c>
      <c r="H255" s="37">
        <f t="shared" ref="H255:H305" si="165">H234</f>
        <v>3980</v>
      </c>
      <c r="I255" t="s">
        <v>465</v>
      </c>
      <c r="J255">
        <v>253</v>
      </c>
      <c r="K255" s="24" t="s">
        <v>296</v>
      </c>
      <c r="L255" s="23">
        <f t="shared" si="122"/>
        <v>105974</v>
      </c>
      <c r="M255" s="23">
        <f t="shared" si="120"/>
        <v>96759</v>
      </c>
      <c r="N255" s="23">
        <f t="shared" si="125"/>
        <v>9215</v>
      </c>
      <c r="O255" s="23">
        <f t="shared" si="123"/>
        <v>16916719</v>
      </c>
    </row>
    <row r="256" spans="1:15" ht="18.600000000000001" thickBot="1" x14ac:dyDescent="0.5">
      <c r="A256" s="85"/>
      <c r="B256" s="87"/>
      <c r="C256" s="127" t="s">
        <v>3</v>
      </c>
      <c r="D256" s="128"/>
      <c r="E256" s="29">
        <f t="shared" ref="E256" si="166">IF(H258="",0,H258)</f>
        <v>0</v>
      </c>
      <c r="F256" s="3"/>
      <c r="G256" s="25" t="s">
        <v>466</v>
      </c>
      <c r="H256" s="43">
        <f t="shared" si="165"/>
        <v>0.65</v>
      </c>
      <c r="I256" t="s">
        <v>469</v>
      </c>
      <c r="J256">
        <v>254</v>
      </c>
      <c r="K256" s="24" t="s">
        <v>297</v>
      </c>
      <c r="L256" s="23">
        <f t="shared" si="122"/>
        <v>105974</v>
      </c>
      <c r="M256" s="23">
        <f t="shared" si="120"/>
        <v>96811</v>
      </c>
      <c r="N256" s="23">
        <f t="shared" si="125"/>
        <v>9163</v>
      </c>
      <c r="O256" s="23">
        <f t="shared" si="123"/>
        <v>16819908</v>
      </c>
    </row>
    <row r="257" spans="1:15" ht="18.600000000000001" thickBot="1" x14ac:dyDescent="0.5">
      <c r="A257" s="86"/>
      <c r="B257" s="88"/>
      <c r="C257" s="127" t="s">
        <v>6</v>
      </c>
      <c r="D257" s="128"/>
      <c r="E257" s="19">
        <f>IF(H261="",$H$7*0.06,H261)</f>
        <v>238.79999999999998</v>
      </c>
      <c r="F257" s="3"/>
      <c r="G257" s="25" t="s">
        <v>467</v>
      </c>
      <c r="H257" s="37">
        <f t="shared" si="165"/>
        <v>35</v>
      </c>
      <c r="I257" t="s">
        <v>468</v>
      </c>
      <c r="J257">
        <v>255</v>
      </c>
      <c r="K257" s="24" t="s">
        <v>298</v>
      </c>
      <c r="L257" s="23">
        <f t="shared" si="122"/>
        <v>105974</v>
      </c>
      <c r="M257" s="23">
        <f t="shared" si="120"/>
        <v>96864</v>
      </c>
      <c r="N257" s="23">
        <f t="shared" si="125"/>
        <v>9110</v>
      </c>
      <c r="O257" s="23">
        <f t="shared" si="123"/>
        <v>16723044</v>
      </c>
    </row>
    <row r="258" spans="1:15" ht="18.600000000000001" thickBot="1" x14ac:dyDescent="0.5">
      <c r="A258" s="86"/>
      <c r="B258" s="91" t="s">
        <v>7</v>
      </c>
      <c r="C258" s="92"/>
      <c r="D258" s="92"/>
      <c r="E258" s="19">
        <f t="shared" ref="E258" si="167">SUM(E256:E257)</f>
        <v>238.79999999999998</v>
      </c>
      <c r="F258" s="3"/>
      <c r="G258" s="28" t="s">
        <v>3</v>
      </c>
      <c r="H258" s="37">
        <f t="shared" si="165"/>
        <v>0</v>
      </c>
      <c r="I258" t="s">
        <v>465</v>
      </c>
      <c r="J258">
        <v>256</v>
      </c>
      <c r="K258" s="24" t="s">
        <v>299</v>
      </c>
      <c r="L258" s="23">
        <f t="shared" si="122"/>
        <v>105974</v>
      </c>
      <c r="M258" s="23">
        <f t="shared" si="120"/>
        <v>96916</v>
      </c>
      <c r="N258" s="23">
        <f t="shared" si="125"/>
        <v>9058</v>
      </c>
      <c r="O258" s="23">
        <f t="shared" si="123"/>
        <v>16626128</v>
      </c>
    </row>
    <row r="259" spans="1:15" ht="18.600000000000001" thickBot="1" x14ac:dyDescent="0.5">
      <c r="A259" s="86"/>
      <c r="B259" s="7"/>
      <c r="C259" s="5" t="s">
        <v>8</v>
      </c>
      <c r="D259" s="5"/>
      <c r="E259" s="49">
        <f>_xlfn.SWITCH(H254,1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1653.1944000000001</v>
      </c>
      <c r="F259" s="3"/>
      <c r="G259" s="28" t="s">
        <v>16</v>
      </c>
      <c r="H259" s="37">
        <f>真実の家賃!$I$8*AD15</f>
        <v>2852.333333333333</v>
      </c>
      <c r="I259" t="s">
        <v>465</v>
      </c>
      <c r="J259">
        <v>257</v>
      </c>
      <c r="K259" s="24" t="s">
        <v>300</v>
      </c>
      <c r="L259" s="23">
        <f t="shared" si="122"/>
        <v>105974</v>
      </c>
      <c r="M259" s="23">
        <f t="shared" si="120"/>
        <v>96969</v>
      </c>
      <c r="N259" s="23">
        <f t="shared" si="125"/>
        <v>9005</v>
      </c>
      <c r="O259" s="23">
        <f t="shared" si="123"/>
        <v>16529159</v>
      </c>
    </row>
    <row r="260" spans="1:15" ht="18.600000000000001" thickBot="1" x14ac:dyDescent="0.5">
      <c r="A260" s="86"/>
      <c r="B260" s="8"/>
      <c r="C260" s="127" t="s">
        <v>2</v>
      </c>
      <c r="D260" s="128"/>
      <c r="E260" s="19">
        <f t="shared" ref="E260" si="168">IF(H262="",H254*15,H262)</f>
        <v>195</v>
      </c>
      <c r="F260" s="3"/>
      <c r="G260" s="56" t="s">
        <v>573</v>
      </c>
      <c r="H260" s="40" t="str">
        <f t="shared" si="165"/>
        <v/>
      </c>
      <c r="I260" t="s">
        <v>465</v>
      </c>
      <c r="J260">
        <v>258</v>
      </c>
      <c r="K260" s="24" t="s">
        <v>301</v>
      </c>
      <c r="L260" s="23">
        <f t="shared" si="122"/>
        <v>105974</v>
      </c>
      <c r="M260" s="23">
        <f t="shared" ref="M260:M323" si="169">IF(L260&lt;=0,0,L260-N260)</f>
        <v>97021</v>
      </c>
      <c r="N260" s="23">
        <f t="shared" si="125"/>
        <v>8953</v>
      </c>
      <c r="O260" s="23">
        <f t="shared" si="123"/>
        <v>16432138</v>
      </c>
    </row>
    <row r="261" spans="1:15" ht="18.600000000000001" thickBot="1" x14ac:dyDescent="0.5">
      <c r="A261" s="86"/>
      <c r="B261" s="8"/>
      <c r="C261" s="129" t="s">
        <v>9</v>
      </c>
      <c r="D261" s="129"/>
      <c r="E261" s="19">
        <f t="shared" ref="E261" si="170">_xlfn.SWITCH(H254,1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261" s="3"/>
      <c r="G261" s="34" t="s">
        <v>6</v>
      </c>
      <c r="H261" s="40" t="str">
        <f t="shared" si="165"/>
        <v/>
      </c>
      <c r="I261" t="s">
        <v>465</v>
      </c>
      <c r="J261">
        <v>259</v>
      </c>
      <c r="K261" s="24" t="s">
        <v>302</v>
      </c>
      <c r="L261" s="23">
        <f t="shared" ref="L261:L324" si="171">IF(N261&lt;=0,0,L260)</f>
        <v>105974</v>
      </c>
      <c r="M261" s="23">
        <f t="shared" si="169"/>
        <v>97074</v>
      </c>
      <c r="N261" s="23">
        <f t="shared" si="125"/>
        <v>8900</v>
      </c>
      <c r="O261" s="23">
        <f t="shared" ref="O261:O324" si="172">IF(L261&lt;=0,0,(O260-M261))</f>
        <v>16335064</v>
      </c>
    </row>
    <row r="262" spans="1:15" ht="18.600000000000001" thickBot="1" x14ac:dyDescent="0.5">
      <c r="A262" s="86"/>
      <c r="B262" s="8"/>
      <c r="C262" s="130" t="s">
        <v>10</v>
      </c>
      <c r="D262" s="131"/>
      <c r="E262" s="19">
        <f t="shared" ref="E262" si="173">IF(H260="",$AA$3,H254*H260)</f>
        <v>0</v>
      </c>
      <c r="F262" s="3"/>
      <c r="G262" s="28" t="s">
        <v>560</v>
      </c>
      <c r="H262" s="40" t="str">
        <f t="shared" si="165"/>
        <v/>
      </c>
      <c r="I262" t="s">
        <v>465</v>
      </c>
      <c r="J262">
        <v>260</v>
      </c>
      <c r="K262" s="24" t="s">
        <v>303</v>
      </c>
      <c r="L262" s="23">
        <f t="shared" si="171"/>
        <v>105974</v>
      </c>
      <c r="M262" s="23">
        <f t="shared" si="169"/>
        <v>97126</v>
      </c>
      <c r="N262" s="23">
        <f t="shared" ref="N262:N325" si="174">IF(O261&lt;=0,0,INT(O261*($H$4/100)/12))</f>
        <v>8848</v>
      </c>
      <c r="O262" s="23">
        <f t="shared" si="172"/>
        <v>16237938</v>
      </c>
    </row>
    <row r="263" spans="1:15" ht="18.600000000000001" thickBot="1" x14ac:dyDescent="0.5">
      <c r="A263" s="86"/>
      <c r="B263" s="132" t="s">
        <v>11</v>
      </c>
      <c r="C263" s="126"/>
      <c r="D263" s="126"/>
      <c r="E263" s="19">
        <f t="shared" ref="E263" si="175">SUM(E259:E262)</f>
        <v>1552.4531248000001</v>
      </c>
      <c r="F263" s="3"/>
      <c r="G263" s="33" t="s">
        <v>561</v>
      </c>
      <c r="H263" s="41" t="str">
        <f t="shared" si="165"/>
        <v/>
      </c>
      <c r="I263" t="s">
        <v>465</v>
      </c>
      <c r="J263">
        <v>261</v>
      </c>
      <c r="K263" s="24" t="s">
        <v>304</v>
      </c>
      <c r="L263" s="23">
        <f t="shared" si="171"/>
        <v>105974</v>
      </c>
      <c r="M263" s="23">
        <f t="shared" si="169"/>
        <v>97179</v>
      </c>
      <c r="N263" s="23">
        <f t="shared" si="174"/>
        <v>8795</v>
      </c>
      <c r="O263" s="23">
        <f t="shared" si="172"/>
        <v>16140759</v>
      </c>
    </row>
    <row r="264" spans="1:15" ht="18.600000000000001" thickBot="1" x14ac:dyDescent="0.5">
      <c r="A264" s="86"/>
      <c r="B264" s="7"/>
      <c r="C264" s="127" t="s">
        <v>12</v>
      </c>
      <c r="D264" s="128"/>
      <c r="E264" s="19">
        <f t="shared" ref="E264" si="176">_xlfn.SWITCH(H254,1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2606.2561000000001</v>
      </c>
      <c r="F264" s="3"/>
      <c r="G264" s="32"/>
      <c r="J264">
        <v>262</v>
      </c>
      <c r="K264" s="24" t="s">
        <v>305</v>
      </c>
      <c r="L264" s="23">
        <f t="shared" si="171"/>
        <v>105974</v>
      </c>
      <c r="M264" s="23">
        <f t="shared" si="169"/>
        <v>97232</v>
      </c>
      <c r="N264" s="23">
        <f t="shared" si="174"/>
        <v>8742</v>
      </c>
      <c r="O264" s="23">
        <f t="shared" si="172"/>
        <v>16043527</v>
      </c>
    </row>
    <row r="265" spans="1:15" ht="18.600000000000001" thickBot="1" x14ac:dyDescent="0.5">
      <c r="A265" s="86"/>
      <c r="B265" s="8"/>
      <c r="C265" s="127" t="s">
        <v>13</v>
      </c>
      <c r="D265" s="128"/>
      <c r="E265" s="19">
        <f t="shared" ref="E265" si="177">IF(H263="",H259*0.05,H263)</f>
        <v>142.61666666666665</v>
      </c>
      <c r="F265" s="3"/>
      <c r="G265" s="30"/>
      <c r="J265">
        <v>263</v>
      </c>
      <c r="K265" s="24" t="s">
        <v>306</v>
      </c>
      <c r="L265" s="23">
        <f t="shared" si="171"/>
        <v>105974</v>
      </c>
      <c r="M265" s="23">
        <f t="shared" si="169"/>
        <v>97284</v>
      </c>
      <c r="N265" s="23">
        <f t="shared" si="174"/>
        <v>8690</v>
      </c>
      <c r="O265" s="23">
        <f t="shared" si="172"/>
        <v>15946243</v>
      </c>
    </row>
    <row r="266" spans="1:15" ht="18.600000000000001" thickBot="1" x14ac:dyDescent="0.5">
      <c r="A266" s="86"/>
      <c r="B266" s="132" t="s">
        <v>14</v>
      </c>
      <c r="C266" s="126"/>
      <c r="D266" s="126"/>
      <c r="E266" s="19">
        <f t="shared" ref="E266" si="178">SUM(E264:E265)</f>
        <v>2748.8727666666668</v>
      </c>
      <c r="F266" s="3"/>
      <c r="G266" s="30"/>
      <c r="J266">
        <v>264</v>
      </c>
      <c r="K266" s="24" t="s">
        <v>307</v>
      </c>
      <c r="L266" s="23">
        <f t="shared" si="171"/>
        <v>105974</v>
      </c>
      <c r="M266" s="23">
        <f t="shared" si="169"/>
        <v>97337</v>
      </c>
      <c r="N266" s="23">
        <f t="shared" si="174"/>
        <v>8637</v>
      </c>
      <c r="O266" s="23">
        <f t="shared" si="172"/>
        <v>15848906</v>
      </c>
    </row>
    <row r="267" spans="1:15" ht="18.600000000000001" thickBot="1" x14ac:dyDescent="0.5">
      <c r="A267" s="97" t="s">
        <v>15</v>
      </c>
      <c r="B267" s="98"/>
      <c r="C267" s="98"/>
      <c r="D267" s="99"/>
      <c r="E267" s="20">
        <f t="shared" ref="E267" si="179">E258+E263+E266</f>
        <v>4540.1258914666669</v>
      </c>
      <c r="F267" s="3"/>
      <c r="G267" s="30"/>
      <c r="J267">
        <v>265</v>
      </c>
      <c r="K267" s="24" t="s">
        <v>308</v>
      </c>
      <c r="L267" s="23">
        <f t="shared" si="171"/>
        <v>105974</v>
      </c>
      <c r="M267" s="23">
        <f t="shared" si="169"/>
        <v>97390</v>
      </c>
      <c r="N267" s="23">
        <f t="shared" si="174"/>
        <v>8584</v>
      </c>
      <c r="O267" s="23">
        <f t="shared" si="172"/>
        <v>15751516</v>
      </c>
    </row>
    <row r="268" spans="1:15" ht="18.600000000000001" thickBot="1" x14ac:dyDescent="0.5">
      <c r="A268" s="6"/>
      <c r="B268" s="126" t="s">
        <v>16</v>
      </c>
      <c r="C268" s="126"/>
      <c r="D268" s="126"/>
      <c r="E268" s="19">
        <f t="shared" ref="E268" si="180">H259</f>
        <v>2852.333333333333</v>
      </c>
      <c r="F268" s="3"/>
      <c r="J268">
        <v>266</v>
      </c>
      <c r="K268" s="24" t="s">
        <v>309</v>
      </c>
      <c r="L268" s="23">
        <f t="shared" si="171"/>
        <v>105974</v>
      </c>
      <c r="M268" s="23">
        <f t="shared" si="169"/>
        <v>97442</v>
      </c>
      <c r="N268" s="23">
        <f t="shared" si="174"/>
        <v>8532</v>
      </c>
      <c r="O268" s="23">
        <f t="shared" si="172"/>
        <v>15654074</v>
      </c>
    </row>
    <row r="269" spans="1:15" ht="18.600000000000001" thickBot="1" x14ac:dyDescent="0.5">
      <c r="A269" s="97" t="s">
        <v>17</v>
      </c>
      <c r="B269" s="98"/>
      <c r="C269" s="98"/>
      <c r="D269" s="99"/>
      <c r="E269" s="20">
        <f t="shared" ref="E269" si="181">E268</f>
        <v>2852.333333333333</v>
      </c>
      <c r="F269" s="3"/>
      <c r="J269">
        <v>267</v>
      </c>
      <c r="K269" s="24" t="s">
        <v>310</v>
      </c>
      <c r="L269" s="23">
        <f t="shared" si="171"/>
        <v>105974</v>
      </c>
      <c r="M269" s="23">
        <f t="shared" si="169"/>
        <v>97495</v>
      </c>
      <c r="N269" s="23">
        <f t="shared" si="174"/>
        <v>8479</v>
      </c>
      <c r="O269" s="23">
        <f t="shared" si="172"/>
        <v>15556579</v>
      </c>
    </row>
    <row r="270" spans="1:15" ht="18.600000000000001" thickBot="1" x14ac:dyDescent="0.5">
      <c r="A270" s="96" t="s">
        <v>18</v>
      </c>
      <c r="B270" s="96"/>
      <c r="C270" s="96"/>
      <c r="D270" s="96"/>
      <c r="E270" s="14">
        <f t="shared" ref="E270" si="182">12*H254</f>
        <v>156</v>
      </c>
      <c r="F270" s="3"/>
      <c r="J270">
        <v>268</v>
      </c>
      <c r="K270" s="24" t="s">
        <v>311</v>
      </c>
      <c r="L270" s="23">
        <f t="shared" si="171"/>
        <v>105974</v>
      </c>
      <c r="M270" s="23">
        <f t="shared" si="169"/>
        <v>97548</v>
      </c>
      <c r="N270" s="23">
        <f t="shared" si="174"/>
        <v>8426</v>
      </c>
      <c r="O270" s="23">
        <f t="shared" si="172"/>
        <v>15459031</v>
      </c>
    </row>
    <row r="271" spans="1:15" ht="18.600000000000001" thickBot="1" x14ac:dyDescent="0.5">
      <c r="A271" s="3"/>
      <c r="B271" s="3"/>
      <c r="C271" s="3"/>
      <c r="D271" s="3"/>
      <c r="E271" s="3"/>
      <c r="F271" s="3"/>
      <c r="J271">
        <v>269</v>
      </c>
      <c r="K271" s="24" t="s">
        <v>312</v>
      </c>
      <c r="L271" s="23">
        <f t="shared" si="171"/>
        <v>105974</v>
      </c>
      <c r="M271" s="23">
        <f t="shared" si="169"/>
        <v>97601</v>
      </c>
      <c r="N271" s="23">
        <f t="shared" si="174"/>
        <v>8373</v>
      </c>
      <c r="O271" s="23">
        <f t="shared" si="172"/>
        <v>15361430</v>
      </c>
    </row>
    <row r="272" spans="1:15" ht="18.600000000000001" thickBot="1" x14ac:dyDescent="0.5">
      <c r="A272" s="12" t="s">
        <v>19</v>
      </c>
      <c r="B272" s="12"/>
      <c r="C272" s="12"/>
      <c r="D272" s="12"/>
      <c r="E272" s="15">
        <f t="shared" ref="E272" si="183">-((E269-E267)/E270)</f>
        <v>10.819183064957269</v>
      </c>
      <c r="F272" s="3" t="s">
        <v>20</v>
      </c>
      <c r="J272">
        <v>270</v>
      </c>
      <c r="K272" s="24" t="s">
        <v>313</v>
      </c>
      <c r="L272" s="23">
        <f t="shared" si="171"/>
        <v>105974</v>
      </c>
      <c r="M272" s="23">
        <f t="shared" si="169"/>
        <v>97654</v>
      </c>
      <c r="N272" s="23">
        <f t="shared" si="174"/>
        <v>8320</v>
      </c>
      <c r="O272" s="23">
        <f t="shared" si="172"/>
        <v>15263776</v>
      </c>
    </row>
    <row r="273" spans="1:15" x14ac:dyDescent="0.45">
      <c r="A273" s="3"/>
      <c r="B273" s="3"/>
      <c r="C273" s="3"/>
      <c r="D273" s="3"/>
      <c r="E273" s="3"/>
      <c r="F273" s="3"/>
      <c r="J273">
        <v>271</v>
      </c>
      <c r="K273" s="24" t="s">
        <v>314</v>
      </c>
      <c r="L273" s="23">
        <f t="shared" si="171"/>
        <v>105974</v>
      </c>
      <c r="M273" s="23">
        <f t="shared" si="169"/>
        <v>97707</v>
      </c>
      <c r="N273" s="23">
        <f t="shared" si="174"/>
        <v>8267</v>
      </c>
      <c r="O273" s="23">
        <f t="shared" si="172"/>
        <v>15166069</v>
      </c>
    </row>
    <row r="274" spans="1:15" ht="18.600000000000001" thickBot="1" x14ac:dyDescent="0.5">
      <c r="A274" s="3"/>
      <c r="B274" s="3"/>
      <c r="D274" s="3"/>
      <c r="E274" s="3"/>
      <c r="F274" s="3"/>
      <c r="J274">
        <v>272</v>
      </c>
      <c r="K274" s="24" t="s">
        <v>315</v>
      </c>
      <c r="L274" s="23">
        <f t="shared" si="171"/>
        <v>105974</v>
      </c>
      <c r="M274" s="23">
        <f t="shared" si="169"/>
        <v>97760</v>
      </c>
      <c r="N274" s="23">
        <f t="shared" si="174"/>
        <v>8214</v>
      </c>
      <c r="O274" s="23">
        <f t="shared" si="172"/>
        <v>15068309</v>
      </c>
    </row>
    <row r="275" spans="1:15" ht="18.600000000000001" thickBot="1" x14ac:dyDescent="0.5">
      <c r="A275" s="10" t="s">
        <v>4</v>
      </c>
      <c r="B275" s="3"/>
      <c r="C275" s="3"/>
      <c r="D275" s="3"/>
      <c r="E275" s="4" t="s">
        <v>1</v>
      </c>
      <c r="F275" s="4"/>
      <c r="G275" s="38" t="s">
        <v>508</v>
      </c>
      <c r="H275" s="42">
        <f t="shared" ref="H275" si="184">H254+1</f>
        <v>14</v>
      </c>
      <c r="I275" t="s">
        <v>509</v>
      </c>
      <c r="J275">
        <v>273</v>
      </c>
      <c r="K275" s="24" t="s">
        <v>316</v>
      </c>
      <c r="L275" s="23">
        <f t="shared" si="171"/>
        <v>105974</v>
      </c>
      <c r="M275" s="23">
        <f t="shared" si="169"/>
        <v>97812</v>
      </c>
      <c r="N275" s="23">
        <f t="shared" si="174"/>
        <v>8162</v>
      </c>
      <c r="O275" s="23">
        <f t="shared" si="172"/>
        <v>14970497</v>
      </c>
    </row>
    <row r="276" spans="1:15" ht="18.600000000000001" thickBot="1" x14ac:dyDescent="0.5">
      <c r="A276" s="133" t="s">
        <v>5</v>
      </c>
      <c r="B276" s="133"/>
      <c r="C276" s="133"/>
      <c r="D276" s="133"/>
      <c r="E276" s="11" t="s">
        <v>0</v>
      </c>
      <c r="F276" s="3"/>
      <c r="G276" s="36" t="s">
        <v>464</v>
      </c>
      <c r="H276" s="37">
        <f t="shared" ref="H276:H281" si="185">H255</f>
        <v>3980</v>
      </c>
      <c r="I276" t="s">
        <v>465</v>
      </c>
      <c r="J276">
        <v>274</v>
      </c>
      <c r="K276" s="24" t="s">
        <v>317</v>
      </c>
      <c r="L276" s="23">
        <f t="shared" si="171"/>
        <v>105974</v>
      </c>
      <c r="M276" s="23">
        <f t="shared" si="169"/>
        <v>97865</v>
      </c>
      <c r="N276" s="23">
        <f t="shared" si="174"/>
        <v>8109</v>
      </c>
      <c r="O276" s="23">
        <f t="shared" si="172"/>
        <v>14872632</v>
      </c>
    </row>
    <row r="277" spans="1:15" ht="18.600000000000001" thickBot="1" x14ac:dyDescent="0.5">
      <c r="A277" s="85"/>
      <c r="B277" s="87"/>
      <c r="C277" s="127" t="s">
        <v>3</v>
      </c>
      <c r="D277" s="128"/>
      <c r="E277" s="29">
        <f t="shared" ref="E277" si="186">IF(H279="",0,H279)</f>
        <v>0</v>
      </c>
      <c r="F277" s="3"/>
      <c r="G277" s="25" t="s">
        <v>466</v>
      </c>
      <c r="H277" s="43">
        <f t="shared" si="185"/>
        <v>0.65</v>
      </c>
      <c r="I277" t="s">
        <v>469</v>
      </c>
      <c r="J277">
        <v>275</v>
      </c>
      <c r="K277" s="24" t="s">
        <v>318</v>
      </c>
      <c r="L277" s="23">
        <f t="shared" si="171"/>
        <v>105974</v>
      </c>
      <c r="M277" s="23">
        <f t="shared" si="169"/>
        <v>97918</v>
      </c>
      <c r="N277" s="23">
        <f t="shared" si="174"/>
        <v>8056</v>
      </c>
      <c r="O277" s="23">
        <f t="shared" si="172"/>
        <v>14774714</v>
      </c>
    </row>
    <row r="278" spans="1:15" ht="18.600000000000001" thickBot="1" x14ac:dyDescent="0.5">
      <c r="A278" s="86"/>
      <c r="B278" s="88"/>
      <c r="C278" s="127" t="s">
        <v>6</v>
      </c>
      <c r="D278" s="128"/>
      <c r="E278" s="19">
        <f>IF(H282="",$H$7*0.06,H282)</f>
        <v>238.79999999999998</v>
      </c>
      <c r="F278" s="3"/>
      <c r="G278" s="25" t="s">
        <v>467</v>
      </c>
      <c r="H278" s="37">
        <f t="shared" si="185"/>
        <v>35</v>
      </c>
      <c r="I278" t="s">
        <v>468</v>
      </c>
      <c r="J278">
        <v>276</v>
      </c>
      <c r="K278" s="24" t="s">
        <v>319</v>
      </c>
      <c r="L278" s="23">
        <f t="shared" si="171"/>
        <v>105974</v>
      </c>
      <c r="M278" s="23">
        <f t="shared" si="169"/>
        <v>97972</v>
      </c>
      <c r="N278" s="23">
        <f t="shared" si="174"/>
        <v>8002</v>
      </c>
      <c r="O278" s="23">
        <f t="shared" si="172"/>
        <v>14676742</v>
      </c>
    </row>
    <row r="279" spans="1:15" ht="18.600000000000001" thickBot="1" x14ac:dyDescent="0.5">
      <c r="A279" s="86"/>
      <c r="B279" s="91" t="s">
        <v>7</v>
      </c>
      <c r="C279" s="92"/>
      <c r="D279" s="92"/>
      <c r="E279" s="19">
        <f t="shared" ref="E279" si="187">SUM(E277:E278)</f>
        <v>238.79999999999998</v>
      </c>
      <c r="F279" s="3"/>
      <c r="G279" s="28" t="s">
        <v>3</v>
      </c>
      <c r="H279" s="37">
        <f t="shared" si="185"/>
        <v>0</v>
      </c>
      <c r="I279" t="s">
        <v>465</v>
      </c>
      <c r="J279">
        <v>277</v>
      </c>
      <c r="K279" s="24" t="s">
        <v>320</v>
      </c>
      <c r="L279" s="23">
        <f t="shared" si="171"/>
        <v>105974</v>
      </c>
      <c r="M279" s="23">
        <f t="shared" si="169"/>
        <v>98025</v>
      </c>
      <c r="N279" s="23">
        <f t="shared" si="174"/>
        <v>7949</v>
      </c>
      <c r="O279" s="23">
        <f t="shared" si="172"/>
        <v>14578717</v>
      </c>
    </row>
    <row r="280" spans="1:15" ht="18.600000000000001" thickBot="1" x14ac:dyDescent="0.5">
      <c r="A280" s="86"/>
      <c r="B280" s="7"/>
      <c r="C280" s="5" t="s">
        <v>8</v>
      </c>
      <c r="D280" s="5"/>
      <c r="E280" s="49">
        <f>_xlfn.SWITCH(H275,1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1780.3632</v>
      </c>
      <c r="F280" s="3"/>
      <c r="G280" s="28" t="s">
        <v>16</v>
      </c>
      <c r="H280" s="37">
        <f>真実の家賃!$I$8*AD16</f>
        <v>2794.844444444444</v>
      </c>
      <c r="I280" t="s">
        <v>465</v>
      </c>
      <c r="J280">
        <v>278</v>
      </c>
      <c r="K280" s="24" t="s">
        <v>321</v>
      </c>
      <c r="L280" s="23">
        <f t="shared" si="171"/>
        <v>105974</v>
      </c>
      <c r="M280" s="23">
        <f t="shared" si="169"/>
        <v>98078</v>
      </c>
      <c r="N280" s="23">
        <f t="shared" si="174"/>
        <v>7896</v>
      </c>
      <c r="O280" s="23">
        <f t="shared" si="172"/>
        <v>14480639</v>
      </c>
    </row>
    <row r="281" spans="1:15" ht="18.600000000000001" thickBot="1" x14ac:dyDescent="0.5">
      <c r="A281" s="86"/>
      <c r="B281" s="8"/>
      <c r="C281" s="127" t="s">
        <v>2</v>
      </c>
      <c r="D281" s="128"/>
      <c r="E281" s="19">
        <f t="shared" ref="E281" si="188">IF(H283="",H275*15,H283)</f>
        <v>210</v>
      </c>
      <c r="F281" s="3"/>
      <c r="G281" s="56" t="s">
        <v>573</v>
      </c>
      <c r="H281" s="40" t="str">
        <f t="shared" si="185"/>
        <v/>
      </c>
      <c r="I281" t="s">
        <v>465</v>
      </c>
      <c r="J281">
        <v>279</v>
      </c>
      <c r="K281" s="24" t="s">
        <v>322</v>
      </c>
      <c r="L281" s="23">
        <f t="shared" si="171"/>
        <v>105974</v>
      </c>
      <c r="M281" s="23">
        <f t="shared" si="169"/>
        <v>98131</v>
      </c>
      <c r="N281" s="23">
        <f t="shared" si="174"/>
        <v>7843</v>
      </c>
      <c r="O281" s="23">
        <f t="shared" si="172"/>
        <v>14382508</v>
      </c>
    </row>
    <row r="282" spans="1:15" ht="18.600000000000001" thickBot="1" x14ac:dyDescent="0.5">
      <c r="A282" s="86"/>
      <c r="B282" s="8"/>
      <c r="C282" s="129" t="s">
        <v>9</v>
      </c>
      <c r="D282" s="129"/>
      <c r="E282" s="19">
        <f t="shared" ref="E282" si="189">_xlfn.SWITCH(H275,1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282" s="3"/>
      <c r="G282" s="34" t="s">
        <v>6</v>
      </c>
      <c r="H282" s="40" t="str">
        <f t="shared" si="149"/>
        <v/>
      </c>
      <c r="I282" t="s">
        <v>465</v>
      </c>
      <c r="J282">
        <v>280</v>
      </c>
      <c r="K282" s="24" t="s">
        <v>323</v>
      </c>
      <c r="L282" s="23">
        <f t="shared" si="171"/>
        <v>105974</v>
      </c>
      <c r="M282" s="23">
        <f t="shared" si="169"/>
        <v>98184</v>
      </c>
      <c r="N282" s="23">
        <f t="shared" si="174"/>
        <v>7790</v>
      </c>
      <c r="O282" s="23">
        <f t="shared" si="172"/>
        <v>14284324</v>
      </c>
    </row>
    <row r="283" spans="1:15" ht="18.600000000000001" thickBot="1" x14ac:dyDescent="0.5">
      <c r="A283" s="86"/>
      <c r="B283" s="8"/>
      <c r="C283" s="130" t="s">
        <v>10</v>
      </c>
      <c r="D283" s="131"/>
      <c r="E283" s="19">
        <f t="shared" ref="E283" si="190">IF(H281="",$AA$3,H275*H281)</f>
        <v>0</v>
      </c>
      <c r="F283" s="3"/>
      <c r="G283" s="28" t="s">
        <v>560</v>
      </c>
      <c r="H283" s="40" t="str">
        <f t="shared" si="149"/>
        <v/>
      </c>
      <c r="I283" t="s">
        <v>465</v>
      </c>
      <c r="J283">
        <v>281</v>
      </c>
      <c r="K283" s="24" t="s">
        <v>324</v>
      </c>
      <c r="L283" s="23">
        <f t="shared" si="171"/>
        <v>105974</v>
      </c>
      <c r="M283" s="23">
        <f t="shared" si="169"/>
        <v>98237</v>
      </c>
      <c r="N283" s="23">
        <f t="shared" si="174"/>
        <v>7737</v>
      </c>
      <c r="O283" s="23">
        <f t="shared" si="172"/>
        <v>14186087</v>
      </c>
    </row>
    <row r="284" spans="1:15" ht="18.600000000000001" thickBot="1" x14ac:dyDescent="0.5">
      <c r="A284" s="86"/>
      <c r="B284" s="132" t="s">
        <v>11</v>
      </c>
      <c r="C284" s="126"/>
      <c r="D284" s="126"/>
      <c r="E284" s="19">
        <f t="shared" ref="E284" si="191">SUM(E280:E283)</f>
        <v>1694.6219248</v>
      </c>
      <c r="F284" s="3"/>
      <c r="G284" s="33" t="s">
        <v>561</v>
      </c>
      <c r="H284" s="41" t="str">
        <f t="shared" si="149"/>
        <v/>
      </c>
      <c r="I284" t="s">
        <v>465</v>
      </c>
      <c r="J284">
        <v>282</v>
      </c>
      <c r="K284" s="24" t="s">
        <v>325</v>
      </c>
      <c r="L284" s="23">
        <f t="shared" si="171"/>
        <v>105974</v>
      </c>
      <c r="M284" s="23">
        <f t="shared" si="169"/>
        <v>98290</v>
      </c>
      <c r="N284" s="23">
        <f t="shared" si="174"/>
        <v>7684</v>
      </c>
      <c r="O284" s="23">
        <f t="shared" si="172"/>
        <v>14087797</v>
      </c>
    </row>
    <row r="285" spans="1:15" ht="18.600000000000001" thickBot="1" x14ac:dyDescent="0.5">
      <c r="A285" s="86"/>
      <c r="B285" s="7"/>
      <c r="C285" s="127" t="s">
        <v>12</v>
      </c>
      <c r="D285" s="128"/>
      <c r="E285" s="19">
        <f t="shared" ref="E285" si="192">_xlfn.SWITCH(H275,1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2495.6985</v>
      </c>
      <c r="F285" s="3"/>
      <c r="G285" s="32"/>
      <c r="J285">
        <v>283</v>
      </c>
      <c r="K285" s="24" t="s">
        <v>326</v>
      </c>
      <c r="L285" s="23">
        <f t="shared" si="171"/>
        <v>105974</v>
      </c>
      <c r="M285" s="23">
        <f t="shared" si="169"/>
        <v>98344</v>
      </c>
      <c r="N285" s="23">
        <f t="shared" si="174"/>
        <v>7630</v>
      </c>
      <c r="O285" s="23">
        <f t="shared" si="172"/>
        <v>13989453</v>
      </c>
    </row>
    <row r="286" spans="1:15" ht="18.600000000000001" thickBot="1" x14ac:dyDescent="0.5">
      <c r="A286" s="86"/>
      <c r="B286" s="8"/>
      <c r="C286" s="127" t="s">
        <v>13</v>
      </c>
      <c r="D286" s="128"/>
      <c r="E286" s="19">
        <f t="shared" ref="E286" si="193">IF(H284="",H280*0.05,H284)</f>
        <v>139.74222222222221</v>
      </c>
      <c r="F286" s="3"/>
      <c r="G286" s="30"/>
      <c r="J286">
        <v>284</v>
      </c>
      <c r="K286" s="24" t="s">
        <v>327</v>
      </c>
      <c r="L286" s="23">
        <f t="shared" si="171"/>
        <v>105974</v>
      </c>
      <c r="M286" s="23">
        <f t="shared" si="169"/>
        <v>98397</v>
      </c>
      <c r="N286" s="23">
        <f t="shared" si="174"/>
        <v>7577</v>
      </c>
      <c r="O286" s="23">
        <f t="shared" si="172"/>
        <v>13891056</v>
      </c>
    </row>
    <row r="287" spans="1:15" ht="18.600000000000001" thickBot="1" x14ac:dyDescent="0.5">
      <c r="A287" s="86"/>
      <c r="B287" s="132" t="s">
        <v>14</v>
      </c>
      <c r="C287" s="126"/>
      <c r="D287" s="126"/>
      <c r="E287" s="19">
        <f t="shared" ref="E287" si="194">SUM(E285:E286)</f>
        <v>2635.4407222222221</v>
      </c>
      <c r="F287" s="3"/>
      <c r="G287" s="30"/>
      <c r="J287">
        <v>285</v>
      </c>
      <c r="K287" s="24" t="s">
        <v>328</v>
      </c>
      <c r="L287" s="23">
        <f t="shared" si="171"/>
        <v>105974</v>
      </c>
      <c r="M287" s="23">
        <f t="shared" si="169"/>
        <v>98450</v>
      </c>
      <c r="N287" s="23">
        <f t="shared" si="174"/>
        <v>7524</v>
      </c>
      <c r="O287" s="23">
        <f t="shared" si="172"/>
        <v>13792606</v>
      </c>
    </row>
    <row r="288" spans="1:15" ht="18.600000000000001" thickBot="1" x14ac:dyDescent="0.5">
      <c r="A288" s="97" t="s">
        <v>15</v>
      </c>
      <c r="B288" s="98"/>
      <c r="C288" s="98"/>
      <c r="D288" s="99"/>
      <c r="E288" s="20">
        <f t="shared" ref="E288" si="195">E279+E284+E287</f>
        <v>4568.8626470222225</v>
      </c>
      <c r="F288" s="3"/>
      <c r="G288" s="30"/>
      <c r="J288">
        <v>286</v>
      </c>
      <c r="K288" s="24" t="s">
        <v>329</v>
      </c>
      <c r="L288" s="23">
        <f t="shared" si="171"/>
        <v>105974</v>
      </c>
      <c r="M288" s="23">
        <f t="shared" si="169"/>
        <v>98504</v>
      </c>
      <c r="N288" s="23">
        <f t="shared" si="174"/>
        <v>7470</v>
      </c>
      <c r="O288" s="23">
        <f t="shared" si="172"/>
        <v>13694102</v>
      </c>
    </row>
    <row r="289" spans="1:15" ht="18.600000000000001" thickBot="1" x14ac:dyDescent="0.5">
      <c r="A289" s="6"/>
      <c r="B289" s="126" t="s">
        <v>16</v>
      </c>
      <c r="C289" s="126"/>
      <c r="D289" s="126"/>
      <c r="E289" s="19">
        <f t="shared" ref="E289" si="196">H280</f>
        <v>2794.844444444444</v>
      </c>
      <c r="F289" s="3"/>
      <c r="J289">
        <v>287</v>
      </c>
      <c r="K289" s="24" t="s">
        <v>330</v>
      </c>
      <c r="L289" s="23">
        <f t="shared" si="171"/>
        <v>105974</v>
      </c>
      <c r="M289" s="23">
        <f t="shared" si="169"/>
        <v>98557</v>
      </c>
      <c r="N289" s="23">
        <f t="shared" si="174"/>
        <v>7417</v>
      </c>
      <c r="O289" s="23">
        <f t="shared" si="172"/>
        <v>13595545</v>
      </c>
    </row>
    <row r="290" spans="1:15" ht="18.600000000000001" thickBot="1" x14ac:dyDescent="0.5">
      <c r="A290" s="97" t="s">
        <v>17</v>
      </c>
      <c r="B290" s="98"/>
      <c r="C290" s="98"/>
      <c r="D290" s="99"/>
      <c r="E290" s="20">
        <f t="shared" ref="E290" si="197">E289</f>
        <v>2794.844444444444</v>
      </c>
      <c r="F290" s="3"/>
      <c r="J290">
        <v>288</v>
      </c>
      <c r="K290" s="24" t="s">
        <v>331</v>
      </c>
      <c r="L290" s="23">
        <f t="shared" si="171"/>
        <v>105974</v>
      </c>
      <c r="M290" s="23">
        <f t="shared" si="169"/>
        <v>98610</v>
      </c>
      <c r="N290" s="23">
        <f t="shared" si="174"/>
        <v>7364</v>
      </c>
      <c r="O290" s="23">
        <f t="shared" si="172"/>
        <v>13496935</v>
      </c>
    </row>
    <row r="291" spans="1:15" ht="18.600000000000001" thickBot="1" x14ac:dyDescent="0.5">
      <c r="A291" s="96" t="s">
        <v>18</v>
      </c>
      <c r="B291" s="96"/>
      <c r="C291" s="96"/>
      <c r="D291" s="96"/>
      <c r="E291" s="14">
        <f t="shared" ref="E291" si="198">12*H275</f>
        <v>168</v>
      </c>
      <c r="F291" s="3"/>
      <c r="J291">
        <v>289</v>
      </c>
      <c r="K291" s="24" t="s">
        <v>332</v>
      </c>
      <c r="L291" s="23">
        <f t="shared" si="171"/>
        <v>105974</v>
      </c>
      <c r="M291" s="23">
        <f t="shared" si="169"/>
        <v>98664</v>
      </c>
      <c r="N291" s="23">
        <f t="shared" si="174"/>
        <v>7310</v>
      </c>
      <c r="O291" s="23">
        <f t="shared" si="172"/>
        <v>13398271</v>
      </c>
    </row>
    <row r="292" spans="1:15" ht="18.600000000000001" thickBot="1" x14ac:dyDescent="0.5">
      <c r="A292" s="3"/>
      <c r="B292" s="3"/>
      <c r="C292" s="3"/>
      <c r="D292" s="3"/>
      <c r="E292" s="3"/>
      <c r="F292" s="3"/>
      <c r="J292">
        <v>290</v>
      </c>
      <c r="K292" s="24" t="s">
        <v>333</v>
      </c>
      <c r="L292" s="23">
        <f t="shared" si="171"/>
        <v>105974</v>
      </c>
      <c r="M292" s="23">
        <f t="shared" si="169"/>
        <v>98717</v>
      </c>
      <c r="N292" s="23">
        <f t="shared" si="174"/>
        <v>7257</v>
      </c>
      <c r="O292" s="23">
        <f t="shared" si="172"/>
        <v>13299554</v>
      </c>
    </row>
    <row r="293" spans="1:15" ht="18.600000000000001" thickBot="1" x14ac:dyDescent="0.5">
      <c r="A293" s="12" t="s">
        <v>19</v>
      </c>
      <c r="B293" s="12"/>
      <c r="C293" s="12"/>
      <c r="D293" s="12"/>
      <c r="E293" s="15">
        <f t="shared" ref="E293" si="199">-((E290-E288)/E291)</f>
        <v>10.559632158201063</v>
      </c>
      <c r="F293" s="3" t="s">
        <v>20</v>
      </c>
      <c r="J293">
        <v>291</v>
      </c>
      <c r="K293" s="24" t="s">
        <v>334</v>
      </c>
      <c r="L293" s="23">
        <f t="shared" si="171"/>
        <v>105974</v>
      </c>
      <c r="M293" s="23">
        <f t="shared" si="169"/>
        <v>98771</v>
      </c>
      <c r="N293" s="23">
        <f t="shared" si="174"/>
        <v>7203</v>
      </c>
      <c r="O293" s="23">
        <f t="shared" si="172"/>
        <v>13200783</v>
      </c>
    </row>
    <row r="294" spans="1:15" x14ac:dyDescent="0.45">
      <c r="A294" s="3"/>
      <c r="B294" s="3"/>
      <c r="C294" s="3"/>
      <c r="D294" s="3"/>
      <c r="E294" s="3"/>
      <c r="F294" s="3"/>
      <c r="J294">
        <v>292</v>
      </c>
      <c r="K294" s="24" t="s">
        <v>335</v>
      </c>
      <c r="L294" s="23">
        <f t="shared" si="171"/>
        <v>105974</v>
      </c>
      <c r="M294" s="23">
        <f t="shared" si="169"/>
        <v>98824</v>
      </c>
      <c r="N294" s="23">
        <f t="shared" si="174"/>
        <v>7150</v>
      </c>
      <c r="O294" s="23">
        <f t="shared" si="172"/>
        <v>13101959</v>
      </c>
    </row>
    <row r="295" spans="1:15" ht="18.600000000000001" thickBot="1" x14ac:dyDescent="0.5">
      <c r="A295" s="3"/>
      <c r="B295" s="3"/>
      <c r="D295" s="3"/>
      <c r="E295" s="3"/>
      <c r="F295" s="3"/>
      <c r="J295">
        <v>293</v>
      </c>
      <c r="K295" s="24" t="s">
        <v>336</v>
      </c>
      <c r="L295" s="23">
        <f t="shared" si="171"/>
        <v>105974</v>
      </c>
      <c r="M295" s="23">
        <f t="shared" si="169"/>
        <v>98878</v>
      </c>
      <c r="N295" s="23">
        <f t="shared" si="174"/>
        <v>7096</v>
      </c>
      <c r="O295" s="23">
        <f t="shared" si="172"/>
        <v>13003081</v>
      </c>
    </row>
    <row r="296" spans="1:15" ht="18.600000000000001" thickBot="1" x14ac:dyDescent="0.5">
      <c r="A296" s="10" t="s">
        <v>4</v>
      </c>
      <c r="B296" s="3"/>
      <c r="C296" s="3"/>
      <c r="D296" s="3"/>
      <c r="E296" s="4" t="s">
        <v>1</v>
      </c>
      <c r="F296" s="4"/>
      <c r="G296" s="38" t="s">
        <v>508</v>
      </c>
      <c r="H296" s="42">
        <f t="shared" ref="H296" si="200">H275+1</f>
        <v>15</v>
      </c>
      <c r="I296" t="s">
        <v>509</v>
      </c>
      <c r="J296">
        <v>294</v>
      </c>
      <c r="K296" s="24" t="s">
        <v>337</v>
      </c>
      <c r="L296" s="23">
        <f t="shared" si="171"/>
        <v>105974</v>
      </c>
      <c r="M296" s="23">
        <f t="shared" si="169"/>
        <v>98931</v>
      </c>
      <c r="N296" s="23">
        <f t="shared" si="174"/>
        <v>7043</v>
      </c>
      <c r="O296" s="23">
        <f t="shared" si="172"/>
        <v>12904150</v>
      </c>
    </row>
    <row r="297" spans="1:15" ht="18.600000000000001" thickBot="1" x14ac:dyDescent="0.5">
      <c r="A297" s="133" t="s">
        <v>5</v>
      </c>
      <c r="B297" s="133"/>
      <c r="C297" s="133"/>
      <c r="D297" s="133"/>
      <c r="E297" s="11" t="s">
        <v>0</v>
      </c>
      <c r="F297" s="3"/>
      <c r="G297" s="36" t="s">
        <v>464</v>
      </c>
      <c r="H297" s="37">
        <f t="shared" ref="H297:H302" si="201">H276</f>
        <v>3980</v>
      </c>
      <c r="I297" t="s">
        <v>465</v>
      </c>
      <c r="J297">
        <v>295</v>
      </c>
      <c r="K297" s="24" t="s">
        <v>338</v>
      </c>
      <c r="L297" s="23">
        <f t="shared" si="171"/>
        <v>105974</v>
      </c>
      <c r="M297" s="23">
        <f t="shared" si="169"/>
        <v>98985</v>
      </c>
      <c r="N297" s="23">
        <f t="shared" si="174"/>
        <v>6989</v>
      </c>
      <c r="O297" s="23">
        <f t="shared" si="172"/>
        <v>12805165</v>
      </c>
    </row>
    <row r="298" spans="1:15" ht="18.600000000000001" thickBot="1" x14ac:dyDescent="0.5">
      <c r="A298" s="85"/>
      <c r="B298" s="87"/>
      <c r="C298" s="127" t="s">
        <v>3</v>
      </c>
      <c r="D298" s="128"/>
      <c r="E298" s="29">
        <f t="shared" ref="E298" si="202">IF(H300="",0,H300)</f>
        <v>0</v>
      </c>
      <c r="F298" s="3"/>
      <c r="G298" s="25" t="s">
        <v>466</v>
      </c>
      <c r="H298" s="43">
        <f t="shared" si="201"/>
        <v>0.65</v>
      </c>
      <c r="I298" t="s">
        <v>469</v>
      </c>
      <c r="J298">
        <v>296</v>
      </c>
      <c r="K298" s="24" t="s">
        <v>339</v>
      </c>
      <c r="L298" s="23">
        <f t="shared" si="171"/>
        <v>105974</v>
      </c>
      <c r="M298" s="23">
        <f t="shared" si="169"/>
        <v>99038</v>
      </c>
      <c r="N298" s="23">
        <f t="shared" si="174"/>
        <v>6936</v>
      </c>
      <c r="O298" s="23">
        <f t="shared" si="172"/>
        <v>12706127</v>
      </c>
    </row>
    <row r="299" spans="1:15" ht="18.600000000000001" thickBot="1" x14ac:dyDescent="0.5">
      <c r="A299" s="86"/>
      <c r="B299" s="88"/>
      <c r="C299" s="127" t="s">
        <v>6</v>
      </c>
      <c r="D299" s="128"/>
      <c r="E299" s="19">
        <f>IF(H303="",$H$7*0.06,H303)</f>
        <v>238.79999999999998</v>
      </c>
      <c r="F299" s="3"/>
      <c r="G299" s="25" t="s">
        <v>467</v>
      </c>
      <c r="H299" s="37">
        <f t="shared" si="201"/>
        <v>35</v>
      </c>
      <c r="I299" t="s">
        <v>468</v>
      </c>
      <c r="J299">
        <v>297</v>
      </c>
      <c r="K299" s="24" t="s">
        <v>340</v>
      </c>
      <c r="L299" s="23">
        <f t="shared" si="171"/>
        <v>105974</v>
      </c>
      <c r="M299" s="23">
        <f t="shared" si="169"/>
        <v>99092</v>
      </c>
      <c r="N299" s="23">
        <f t="shared" si="174"/>
        <v>6882</v>
      </c>
      <c r="O299" s="23">
        <f t="shared" si="172"/>
        <v>12607035</v>
      </c>
    </row>
    <row r="300" spans="1:15" ht="18.600000000000001" thickBot="1" x14ac:dyDescent="0.5">
      <c r="A300" s="86"/>
      <c r="B300" s="91" t="s">
        <v>7</v>
      </c>
      <c r="C300" s="92"/>
      <c r="D300" s="92"/>
      <c r="E300" s="19">
        <f t="shared" ref="E300" si="203">SUM(E298:E299)</f>
        <v>238.79999999999998</v>
      </c>
      <c r="F300" s="3"/>
      <c r="G300" s="28" t="s">
        <v>3</v>
      </c>
      <c r="H300" s="37">
        <f t="shared" si="201"/>
        <v>0</v>
      </c>
      <c r="I300" t="s">
        <v>465</v>
      </c>
      <c r="J300">
        <v>298</v>
      </c>
      <c r="K300" s="24" t="s">
        <v>341</v>
      </c>
      <c r="L300" s="23">
        <f t="shared" si="171"/>
        <v>105974</v>
      </c>
      <c r="M300" s="23">
        <f t="shared" si="169"/>
        <v>99146</v>
      </c>
      <c r="N300" s="23">
        <f t="shared" si="174"/>
        <v>6828</v>
      </c>
      <c r="O300" s="23">
        <f t="shared" si="172"/>
        <v>12507889</v>
      </c>
    </row>
    <row r="301" spans="1:15" ht="18.600000000000001" thickBot="1" x14ac:dyDescent="0.5">
      <c r="A301" s="86"/>
      <c r="B301" s="7"/>
      <c r="C301" s="5" t="s">
        <v>8</v>
      </c>
      <c r="D301" s="5"/>
      <c r="E301" s="49">
        <f>_xlfn.SWITCH(H296,1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1907.5319999999999</v>
      </c>
      <c r="F301" s="3"/>
      <c r="G301" s="28" t="s">
        <v>16</v>
      </c>
      <c r="H301" s="37">
        <f>真実の家賃!$I$8*AD17</f>
        <v>2737.3555555555549</v>
      </c>
      <c r="I301" t="s">
        <v>465</v>
      </c>
      <c r="J301">
        <v>299</v>
      </c>
      <c r="K301" s="24" t="s">
        <v>342</v>
      </c>
      <c r="L301" s="23">
        <f t="shared" si="171"/>
        <v>105974</v>
      </c>
      <c r="M301" s="23">
        <f t="shared" si="169"/>
        <v>99199</v>
      </c>
      <c r="N301" s="23">
        <f t="shared" si="174"/>
        <v>6775</v>
      </c>
      <c r="O301" s="23">
        <f t="shared" si="172"/>
        <v>12408690</v>
      </c>
    </row>
    <row r="302" spans="1:15" ht="18.600000000000001" thickBot="1" x14ac:dyDescent="0.5">
      <c r="A302" s="86"/>
      <c r="B302" s="8"/>
      <c r="C302" s="127" t="s">
        <v>2</v>
      </c>
      <c r="D302" s="128"/>
      <c r="E302" s="19">
        <f t="shared" ref="E302" si="204">IF(H304="",H296*15,H304)</f>
        <v>225</v>
      </c>
      <c r="F302" s="3"/>
      <c r="G302" s="56" t="s">
        <v>573</v>
      </c>
      <c r="H302" s="40" t="str">
        <f t="shared" si="201"/>
        <v/>
      </c>
      <c r="I302" t="s">
        <v>465</v>
      </c>
      <c r="J302">
        <v>300</v>
      </c>
      <c r="K302" s="24" t="s">
        <v>343</v>
      </c>
      <c r="L302" s="23">
        <f t="shared" si="171"/>
        <v>105974</v>
      </c>
      <c r="M302" s="23">
        <f t="shared" si="169"/>
        <v>99253</v>
      </c>
      <c r="N302" s="23">
        <f t="shared" si="174"/>
        <v>6721</v>
      </c>
      <c r="O302" s="23">
        <f t="shared" si="172"/>
        <v>12309437</v>
      </c>
    </row>
    <row r="303" spans="1:15" ht="18.600000000000001" thickBot="1" x14ac:dyDescent="0.5">
      <c r="A303" s="86"/>
      <c r="B303" s="8"/>
      <c r="C303" s="129" t="s">
        <v>9</v>
      </c>
      <c r="D303" s="129"/>
      <c r="E303" s="19">
        <f t="shared" ref="E303" si="205">_xlfn.SWITCH(H296,1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303" s="3"/>
      <c r="G303" s="34" t="s">
        <v>6</v>
      </c>
      <c r="H303" s="40" t="str">
        <f t="shared" si="165"/>
        <v/>
      </c>
      <c r="I303" t="s">
        <v>465</v>
      </c>
      <c r="J303">
        <v>301</v>
      </c>
      <c r="K303" s="24" t="s">
        <v>344</v>
      </c>
      <c r="L303" s="23">
        <f t="shared" si="171"/>
        <v>105974</v>
      </c>
      <c r="M303" s="23">
        <f t="shared" si="169"/>
        <v>99307</v>
      </c>
      <c r="N303" s="23">
        <f t="shared" si="174"/>
        <v>6667</v>
      </c>
      <c r="O303" s="23">
        <f t="shared" si="172"/>
        <v>12210130</v>
      </c>
    </row>
    <row r="304" spans="1:15" ht="18.600000000000001" thickBot="1" x14ac:dyDescent="0.5">
      <c r="A304" s="86"/>
      <c r="B304" s="8"/>
      <c r="C304" s="130" t="s">
        <v>10</v>
      </c>
      <c r="D304" s="131"/>
      <c r="E304" s="19">
        <f t="shared" ref="E304" si="206">IF(H302="",$AA$3,H296*H302)</f>
        <v>0</v>
      </c>
      <c r="F304" s="3"/>
      <c r="G304" s="28" t="s">
        <v>560</v>
      </c>
      <c r="H304" s="40" t="str">
        <f t="shared" si="165"/>
        <v/>
      </c>
      <c r="I304" t="s">
        <v>465</v>
      </c>
      <c r="J304">
        <v>302</v>
      </c>
      <c r="K304" s="24" t="s">
        <v>345</v>
      </c>
      <c r="L304" s="23">
        <f t="shared" si="171"/>
        <v>105974</v>
      </c>
      <c r="M304" s="23">
        <f t="shared" si="169"/>
        <v>99361</v>
      </c>
      <c r="N304" s="23">
        <f t="shared" si="174"/>
        <v>6613</v>
      </c>
      <c r="O304" s="23">
        <f t="shared" si="172"/>
        <v>12110769</v>
      </c>
    </row>
    <row r="305" spans="1:15" ht="18.600000000000001" thickBot="1" x14ac:dyDescent="0.5">
      <c r="A305" s="86"/>
      <c r="B305" s="132" t="s">
        <v>11</v>
      </c>
      <c r="C305" s="126"/>
      <c r="D305" s="126"/>
      <c r="E305" s="19">
        <f t="shared" ref="E305" si="207">SUM(E301:E304)</f>
        <v>1836.7907248000001</v>
      </c>
      <c r="F305" s="3"/>
      <c r="G305" s="33" t="s">
        <v>561</v>
      </c>
      <c r="H305" s="41" t="str">
        <f t="shared" si="165"/>
        <v/>
      </c>
      <c r="I305" t="s">
        <v>465</v>
      </c>
      <c r="J305">
        <v>303</v>
      </c>
      <c r="K305" s="24" t="s">
        <v>346</v>
      </c>
      <c r="L305" s="23">
        <f t="shared" si="171"/>
        <v>105974</v>
      </c>
      <c r="M305" s="23">
        <f t="shared" si="169"/>
        <v>99415</v>
      </c>
      <c r="N305" s="23">
        <f t="shared" si="174"/>
        <v>6559</v>
      </c>
      <c r="O305" s="23">
        <f t="shared" si="172"/>
        <v>12011354</v>
      </c>
    </row>
    <row r="306" spans="1:15" ht="18.600000000000001" thickBot="1" x14ac:dyDescent="0.5">
      <c r="A306" s="86"/>
      <c r="B306" s="7"/>
      <c r="C306" s="127" t="s">
        <v>12</v>
      </c>
      <c r="D306" s="128"/>
      <c r="E306" s="19">
        <f t="shared" ref="E306" si="208">_xlfn.SWITCH(H296,1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2384.42</v>
      </c>
      <c r="F306" s="3"/>
      <c r="G306" s="32"/>
      <c r="J306">
        <v>304</v>
      </c>
      <c r="K306" s="24" t="s">
        <v>347</v>
      </c>
      <c r="L306" s="23">
        <f t="shared" si="171"/>
        <v>105974</v>
      </c>
      <c r="M306" s="23">
        <f t="shared" si="169"/>
        <v>99468</v>
      </c>
      <c r="N306" s="23">
        <f t="shared" si="174"/>
        <v>6506</v>
      </c>
      <c r="O306" s="23">
        <f t="shared" si="172"/>
        <v>11911886</v>
      </c>
    </row>
    <row r="307" spans="1:15" ht="18.600000000000001" thickBot="1" x14ac:dyDescent="0.5">
      <c r="A307" s="86"/>
      <c r="B307" s="8"/>
      <c r="C307" s="127" t="s">
        <v>13</v>
      </c>
      <c r="D307" s="128"/>
      <c r="E307" s="19">
        <f t="shared" ref="E307" si="209">IF(H305="",H301*0.05,H305)</f>
        <v>136.86777777777775</v>
      </c>
      <c r="F307" s="3"/>
      <c r="G307" s="30"/>
      <c r="J307">
        <v>305</v>
      </c>
      <c r="K307" s="24" t="s">
        <v>348</v>
      </c>
      <c r="L307" s="23">
        <f t="shared" si="171"/>
        <v>105974</v>
      </c>
      <c r="M307" s="23">
        <f t="shared" si="169"/>
        <v>99522</v>
      </c>
      <c r="N307" s="23">
        <f t="shared" si="174"/>
        <v>6452</v>
      </c>
      <c r="O307" s="23">
        <f t="shared" si="172"/>
        <v>11812364</v>
      </c>
    </row>
    <row r="308" spans="1:15" ht="18.600000000000001" thickBot="1" x14ac:dyDescent="0.5">
      <c r="A308" s="86"/>
      <c r="B308" s="132" t="s">
        <v>14</v>
      </c>
      <c r="C308" s="126"/>
      <c r="D308" s="126"/>
      <c r="E308" s="19">
        <f t="shared" ref="E308" si="210">SUM(E306:E307)</f>
        <v>2521.2877777777776</v>
      </c>
      <c r="F308" s="3"/>
      <c r="G308" s="30"/>
      <c r="J308">
        <v>306</v>
      </c>
      <c r="K308" s="24" t="s">
        <v>349</v>
      </c>
      <c r="L308" s="23">
        <f t="shared" si="171"/>
        <v>105974</v>
      </c>
      <c r="M308" s="23">
        <f t="shared" si="169"/>
        <v>99576</v>
      </c>
      <c r="N308" s="23">
        <f t="shared" si="174"/>
        <v>6398</v>
      </c>
      <c r="O308" s="23">
        <f t="shared" si="172"/>
        <v>11712788</v>
      </c>
    </row>
    <row r="309" spans="1:15" ht="18.600000000000001" thickBot="1" x14ac:dyDescent="0.5">
      <c r="A309" s="97" t="s">
        <v>15</v>
      </c>
      <c r="B309" s="98"/>
      <c r="C309" s="98"/>
      <c r="D309" s="99"/>
      <c r="E309" s="20">
        <f t="shared" ref="E309" si="211">E300+E305+E308</f>
        <v>4596.8785025777779</v>
      </c>
      <c r="F309" s="3"/>
      <c r="G309" s="30"/>
      <c r="J309">
        <v>307</v>
      </c>
      <c r="K309" s="24" t="s">
        <v>350</v>
      </c>
      <c r="L309" s="23">
        <f t="shared" si="171"/>
        <v>105974</v>
      </c>
      <c r="M309" s="23">
        <f t="shared" si="169"/>
        <v>99630</v>
      </c>
      <c r="N309" s="23">
        <f t="shared" si="174"/>
        <v>6344</v>
      </c>
      <c r="O309" s="23">
        <f t="shared" si="172"/>
        <v>11613158</v>
      </c>
    </row>
    <row r="310" spans="1:15" ht="18.600000000000001" thickBot="1" x14ac:dyDescent="0.5">
      <c r="A310" s="6"/>
      <c r="B310" s="126" t="s">
        <v>16</v>
      </c>
      <c r="C310" s="126"/>
      <c r="D310" s="126"/>
      <c r="E310" s="19">
        <f t="shared" ref="E310" si="212">H301</f>
        <v>2737.3555555555549</v>
      </c>
      <c r="F310" s="3"/>
      <c r="J310">
        <v>308</v>
      </c>
      <c r="K310" s="24" t="s">
        <v>351</v>
      </c>
      <c r="L310" s="23">
        <f t="shared" si="171"/>
        <v>105974</v>
      </c>
      <c r="M310" s="23">
        <f t="shared" si="169"/>
        <v>99684</v>
      </c>
      <c r="N310" s="23">
        <f t="shared" si="174"/>
        <v>6290</v>
      </c>
      <c r="O310" s="23">
        <f t="shared" si="172"/>
        <v>11513474</v>
      </c>
    </row>
    <row r="311" spans="1:15" ht="18.600000000000001" thickBot="1" x14ac:dyDescent="0.5">
      <c r="A311" s="97" t="s">
        <v>17</v>
      </c>
      <c r="B311" s="98"/>
      <c r="C311" s="98"/>
      <c r="D311" s="99"/>
      <c r="E311" s="20">
        <f t="shared" ref="E311" si="213">E310</f>
        <v>2737.3555555555549</v>
      </c>
      <c r="F311" s="3"/>
      <c r="J311">
        <v>309</v>
      </c>
      <c r="K311" s="24" t="s">
        <v>352</v>
      </c>
      <c r="L311" s="23">
        <f t="shared" si="171"/>
        <v>105974</v>
      </c>
      <c r="M311" s="23">
        <f t="shared" si="169"/>
        <v>99738</v>
      </c>
      <c r="N311" s="23">
        <f t="shared" si="174"/>
        <v>6236</v>
      </c>
      <c r="O311" s="23">
        <f t="shared" si="172"/>
        <v>11413736</v>
      </c>
    </row>
    <row r="312" spans="1:15" ht="18.600000000000001" thickBot="1" x14ac:dyDescent="0.5">
      <c r="A312" s="96" t="s">
        <v>18</v>
      </c>
      <c r="B312" s="96"/>
      <c r="C312" s="96"/>
      <c r="D312" s="96"/>
      <c r="E312" s="14">
        <f t="shared" ref="E312" si="214">12*H296</f>
        <v>180</v>
      </c>
      <c r="F312" s="3"/>
      <c r="J312">
        <v>310</v>
      </c>
      <c r="K312" s="24" t="s">
        <v>353</v>
      </c>
      <c r="L312" s="23">
        <f t="shared" si="171"/>
        <v>105974</v>
      </c>
      <c r="M312" s="23">
        <f t="shared" si="169"/>
        <v>99792</v>
      </c>
      <c r="N312" s="23">
        <f t="shared" si="174"/>
        <v>6182</v>
      </c>
      <c r="O312" s="23">
        <f t="shared" si="172"/>
        <v>11313944</v>
      </c>
    </row>
    <row r="313" spans="1:15" ht="18.600000000000001" thickBot="1" x14ac:dyDescent="0.5">
      <c r="A313" s="3"/>
      <c r="B313" s="3"/>
      <c r="C313" s="3"/>
      <c r="D313" s="3"/>
      <c r="E313" s="3"/>
      <c r="F313" s="3"/>
      <c r="J313">
        <v>311</v>
      </c>
      <c r="K313" s="24" t="s">
        <v>354</v>
      </c>
      <c r="L313" s="23">
        <f t="shared" si="171"/>
        <v>105974</v>
      </c>
      <c r="M313" s="23">
        <f t="shared" si="169"/>
        <v>99846</v>
      </c>
      <c r="N313" s="23">
        <f t="shared" si="174"/>
        <v>6128</v>
      </c>
      <c r="O313" s="23">
        <f t="shared" si="172"/>
        <v>11214098</v>
      </c>
    </row>
    <row r="314" spans="1:15" ht="18.600000000000001" thickBot="1" x14ac:dyDescent="0.5">
      <c r="A314" s="12" t="s">
        <v>19</v>
      </c>
      <c r="B314" s="12"/>
      <c r="C314" s="12"/>
      <c r="D314" s="12"/>
      <c r="E314" s="15">
        <f t="shared" ref="E314" si="215">-((E311-E309)/E312)</f>
        <v>10.330683039012349</v>
      </c>
      <c r="F314" s="3" t="s">
        <v>20</v>
      </c>
      <c r="J314">
        <v>312</v>
      </c>
      <c r="K314" s="24" t="s">
        <v>355</v>
      </c>
      <c r="L314" s="23">
        <f t="shared" si="171"/>
        <v>105974</v>
      </c>
      <c r="M314" s="23">
        <f t="shared" si="169"/>
        <v>99900</v>
      </c>
      <c r="N314" s="23">
        <f t="shared" si="174"/>
        <v>6074</v>
      </c>
      <c r="O314" s="23">
        <f t="shared" si="172"/>
        <v>11114198</v>
      </c>
    </row>
    <row r="315" spans="1:15" x14ac:dyDescent="0.45">
      <c r="A315" s="3"/>
      <c r="B315" s="3"/>
      <c r="C315" s="3"/>
      <c r="D315" s="3"/>
      <c r="E315" s="3"/>
      <c r="F315" s="3"/>
      <c r="J315">
        <v>313</v>
      </c>
      <c r="K315" s="24" t="s">
        <v>356</v>
      </c>
      <c r="L315" s="23">
        <f t="shared" si="171"/>
        <v>105974</v>
      </c>
      <c r="M315" s="23">
        <f t="shared" si="169"/>
        <v>99954</v>
      </c>
      <c r="N315" s="23">
        <f t="shared" si="174"/>
        <v>6020</v>
      </c>
      <c r="O315" s="23">
        <f t="shared" si="172"/>
        <v>11014244</v>
      </c>
    </row>
    <row r="316" spans="1:15" ht="18.600000000000001" thickBot="1" x14ac:dyDescent="0.5">
      <c r="A316" s="3"/>
      <c r="B316" s="3"/>
      <c r="D316" s="3"/>
      <c r="E316" s="3"/>
      <c r="F316" s="3"/>
      <c r="J316">
        <v>314</v>
      </c>
      <c r="K316" s="24" t="s">
        <v>357</v>
      </c>
      <c r="L316" s="23">
        <f t="shared" si="171"/>
        <v>105974</v>
      </c>
      <c r="M316" s="23">
        <f t="shared" si="169"/>
        <v>100008</v>
      </c>
      <c r="N316" s="23">
        <f t="shared" si="174"/>
        <v>5966</v>
      </c>
      <c r="O316" s="23">
        <f t="shared" si="172"/>
        <v>10914236</v>
      </c>
    </row>
    <row r="317" spans="1:15" ht="18.600000000000001" thickBot="1" x14ac:dyDescent="0.5">
      <c r="A317" s="10" t="s">
        <v>4</v>
      </c>
      <c r="B317" s="3"/>
      <c r="C317" s="3"/>
      <c r="D317" s="3"/>
      <c r="E317" s="4" t="s">
        <v>1</v>
      </c>
      <c r="F317" s="4"/>
      <c r="G317" s="38" t="s">
        <v>508</v>
      </c>
      <c r="H317" s="42">
        <f t="shared" ref="H317" si="216">H296+1</f>
        <v>16</v>
      </c>
      <c r="I317" t="s">
        <v>509</v>
      </c>
      <c r="J317">
        <v>315</v>
      </c>
      <c r="K317" s="24" t="s">
        <v>358</v>
      </c>
      <c r="L317" s="23">
        <f t="shared" si="171"/>
        <v>105974</v>
      </c>
      <c r="M317" s="23">
        <f t="shared" si="169"/>
        <v>100063</v>
      </c>
      <c r="N317" s="23">
        <f t="shared" si="174"/>
        <v>5911</v>
      </c>
      <c r="O317" s="23">
        <f t="shared" si="172"/>
        <v>10814173</v>
      </c>
    </row>
    <row r="318" spans="1:15" ht="18.600000000000001" thickBot="1" x14ac:dyDescent="0.5">
      <c r="A318" s="133" t="s">
        <v>5</v>
      </c>
      <c r="B318" s="133"/>
      <c r="C318" s="133"/>
      <c r="D318" s="133"/>
      <c r="E318" s="11" t="s">
        <v>0</v>
      </c>
      <c r="F318" s="3"/>
      <c r="G318" s="36" t="s">
        <v>464</v>
      </c>
      <c r="H318" s="37">
        <f t="shared" ref="H318:H368" si="217">H297</f>
        <v>3980</v>
      </c>
      <c r="I318" t="s">
        <v>465</v>
      </c>
      <c r="J318">
        <v>316</v>
      </c>
      <c r="K318" s="24" t="s">
        <v>359</v>
      </c>
      <c r="L318" s="23">
        <f t="shared" si="171"/>
        <v>105974</v>
      </c>
      <c r="M318" s="23">
        <f t="shared" si="169"/>
        <v>100117</v>
      </c>
      <c r="N318" s="23">
        <f t="shared" si="174"/>
        <v>5857</v>
      </c>
      <c r="O318" s="23">
        <f t="shared" si="172"/>
        <v>10714056</v>
      </c>
    </row>
    <row r="319" spans="1:15" ht="18.600000000000001" thickBot="1" x14ac:dyDescent="0.5">
      <c r="A319" s="85"/>
      <c r="B319" s="87"/>
      <c r="C319" s="127" t="s">
        <v>3</v>
      </c>
      <c r="D319" s="128"/>
      <c r="E319" s="29">
        <f t="shared" ref="E319" si="218">IF(H321="",0,H321)</f>
        <v>0</v>
      </c>
      <c r="F319" s="3"/>
      <c r="G319" s="25" t="s">
        <v>466</v>
      </c>
      <c r="H319" s="43">
        <f t="shared" si="217"/>
        <v>0.65</v>
      </c>
      <c r="I319" t="s">
        <v>469</v>
      </c>
      <c r="J319">
        <v>317</v>
      </c>
      <c r="K319" s="24" t="s">
        <v>360</v>
      </c>
      <c r="L319" s="23">
        <f t="shared" si="171"/>
        <v>105974</v>
      </c>
      <c r="M319" s="23">
        <f t="shared" si="169"/>
        <v>100171</v>
      </c>
      <c r="N319" s="23">
        <f t="shared" si="174"/>
        <v>5803</v>
      </c>
      <c r="O319" s="23">
        <f t="shared" si="172"/>
        <v>10613885</v>
      </c>
    </row>
    <row r="320" spans="1:15" ht="18.600000000000001" thickBot="1" x14ac:dyDescent="0.5">
      <c r="A320" s="86"/>
      <c r="B320" s="88"/>
      <c r="C320" s="127" t="s">
        <v>6</v>
      </c>
      <c r="D320" s="128"/>
      <c r="E320" s="19">
        <f>IF(H324="",$H$7*0.06,H324)</f>
        <v>238.79999999999998</v>
      </c>
      <c r="F320" s="3"/>
      <c r="G320" s="25" t="s">
        <v>467</v>
      </c>
      <c r="H320" s="37">
        <f t="shared" si="217"/>
        <v>35</v>
      </c>
      <c r="I320" t="s">
        <v>468</v>
      </c>
      <c r="J320">
        <v>318</v>
      </c>
      <c r="K320" s="24" t="s">
        <v>361</v>
      </c>
      <c r="L320" s="23">
        <f t="shared" si="171"/>
        <v>105974</v>
      </c>
      <c r="M320" s="23">
        <f t="shared" si="169"/>
        <v>100225</v>
      </c>
      <c r="N320" s="23">
        <f t="shared" si="174"/>
        <v>5749</v>
      </c>
      <c r="O320" s="23">
        <f t="shared" si="172"/>
        <v>10513660</v>
      </c>
    </row>
    <row r="321" spans="1:15" ht="18.600000000000001" thickBot="1" x14ac:dyDescent="0.5">
      <c r="A321" s="86"/>
      <c r="B321" s="91" t="s">
        <v>7</v>
      </c>
      <c r="C321" s="92"/>
      <c r="D321" s="92"/>
      <c r="E321" s="19">
        <f t="shared" ref="E321" si="219">SUM(E319:E320)</f>
        <v>238.79999999999998</v>
      </c>
      <c r="F321" s="3"/>
      <c r="G321" s="28" t="s">
        <v>3</v>
      </c>
      <c r="H321" s="37">
        <f t="shared" si="217"/>
        <v>0</v>
      </c>
      <c r="I321" t="s">
        <v>465</v>
      </c>
      <c r="J321">
        <v>319</v>
      </c>
      <c r="K321" s="24" t="s">
        <v>362</v>
      </c>
      <c r="L321" s="23">
        <f t="shared" si="171"/>
        <v>105974</v>
      </c>
      <c r="M321" s="23">
        <f t="shared" si="169"/>
        <v>100280</v>
      </c>
      <c r="N321" s="23">
        <f t="shared" si="174"/>
        <v>5694</v>
      </c>
      <c r="O321" s="23">
        <f t="shared" si="172"/>
        <v>10413380</v>
      </c>
    </row>
    <row r="322" spans="1:15" ht="18.600000000000001" thickBot="1" x14ac:dyDescent="0.5">
      <c r="A322" s="86"/>
      <c r="B322" s="7"/>
      <c r="C322" s="5" t="s">
        <v>8</v>
      </c>
      <c r="D322" s="5"/>
      <c r="E322" s="49">
        <f>_xlfn.SWITCH(H317,1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2034.7008000000001</v>
      </c>
      <c r="F322" s="3"/>
      <c r="G322" s="28" t="s">
        <v>16</v>
      </c>
      <c r="H322" s="37">
        <f>真実の家賃!$I$8*AD18</f>
        <v>2679.8666666666659</v>
      </c>
      <c r="I322" t="s">
        <v>465</v>
      </c>
      <c r="J322">
        <v>320</v>
      </c>
      <c r="K322" s="24" t="s">
        <v>363</v>
      </c>
      <c r="L322" s="23">
        <f t="shared" si="171"/>
        <v>105974</v>
      </c>
      <c r="M322" s="23">
        <f t="shared" si="169"/>
        <v>100334</v>
      </c>
      <c r="N322" s="23">
        <f t="shared" si="174"/>
        <v>5640</v>
      </c>
      <c r="O322" s="23">
        <f t="shared" si="172"/>
        <v>10313046</v>
      </c>
    </row>
    <row r="323" spans="1:15" ht="18.600000000000001" thickBot="1" x14ac:dyDescent="0.5">
      <c r="A323" s="86"/>
      <c r="B323" s="8"/>
      <c r="C323" s="127" t="s">
        <v>2</v>
      </c>
      <c r="D323" s="128"/>
      <c r="E323" s="19">
        <f t="shared" ref="E323" si="220">IF(H325="",H317*15,H325)</f>
        <v>240</v>
      </c>
      <c r="F323" s="3"/>
      <c r="G323" s="56" t="s">
        <v>573</v>
      </c>
      <c r="H323" s="40" t="str">
        <f t="shared" si="217"/>
        <v/>
      </c>
      <c r="I323" t="s">
        <v>465</v>
      </c>
      <c r="J323">
        <v>321</v>
      </c>
      <c r="K323" s="24" t="s">
        <v>364</v>
      </c>
      <c r="L323" s="23">
        <f t="shared" si="171"/>
        <v>105974</v>
      </c>
      <c r="M323" s="23">
        <f t="shared" si="169"/>
        <v>100388</v>
      </c>
      <c r="N323" s="23">
        <f t="shared" si="174"/>
        <v>5586</v>
      </c>
      <c r="O323" s="23">
        <f t="shared" si="172"/>
        <v>10212658</v>
      </c>
    </row>
    <row r="324" spans="1:15" ht="18.600000000000001" thickBot="1" x14ac:dyDescent="0.5">
      <c r="A324" s="86"/>
      <c r="B324" s="8"/>
      <c r="C324" s="129" t="s">
        <v>9</v>
      </c>
      <c r="D324" s="129"/>
      <c r="E324" s="19">
        <f t="shared" ref="E324" si="221">_xlfn.SWITCH(H317,1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324" s="3"/>
      <c r="G324" s="34" t="s">
        <v>6</v>
      </c>
      <c r="H324" s="40" t="str">
        <f t="shared" si="217"/>
        <v/>
      </c>
      <c r="I324" t="s">
        <v>465</v>
      </c>
      <c r="J324">
        <v>322</v>
      </c>
      <c r="K324" s="24" t="s">
        <v>365</v>
      </c>
      <c r="L324" s="23">
        <f t="shared" si="171"/>
        <v>105974</v>
      </c>
      <c r="M324" s="23">
        <f t="shared" ref="M324:M387" si="222">IF(L324&lt;=0,0,L324-N324)</f>
        <v>100443</v>
      </c>
      <c r="N324" s="23">
        <f t="shared" si="174"/>
        <v>5531</v>
      </c>
      <c r="O324" s="23">
        <f t="shared" si="172"/>
        <v>10112215</v>
      </c>
    </row>
    <row r="325" spans="1:15" ht="18.600000000000001" thickBot="1" x14ac:dyDescent="0.5">
      <c r="A325" s="86"/>
      <c r="B325" s="8"/>
      <c r="C325" s="130" t="s">
        <v>10</v>
      </c>
      <c r="D325" s="131"/>
      <c r="E325" s="19">
        <f t="shared" ref="E325" si="223">IF(H323="",$AA$3,H317*H323)</f>
        <v>0</v>
      </c>
      <c r="F325" s="3"/>
      <c r="G325" s="28" t="s">
        <v>560</v>
      </c>
      <c r="H325" s="40" t="str">
        <f t="shared" si="217"/>
        <v/>
      </c>
      <c r="I325" t="s">
        <v>465</v>
      </c>
      <c r="J325">
        <v>323</v>
      </c>
      <c r="K325" s="24" t="s">
        <v>366</v>
      </c>
      <c r="L325" s="23">
        <f t="shared" ref="L325:L388" si="224">IF(N325&lt;=0,0,L324)</f>
        <v>105974</v>
      </c>
      <c r="M325" s="23">
        <f t="shared" si="222"/>
        <v>100497</v>
      </c>
      <c r="N325" s="23">
        <f t="shared" si="174"/>
        <v>5477</v>
      </c>
      <c r="O325" s="23">
        <f t="shared" ref="O325:O388" si="225">IF(L325&lt;=0,0,(O324-M325))</f>
        <v>10011718</v>
      </c>
    </row>
    <row r="326" spans="1:15" ht="18.600000000000001" thickBot="1" x14ac:dyDescent="0.5">
      <c r="A326" s="86"/>
      <c r="B326" s="132" t="s">
        <v>11</v>
      </c>
      <c r="C326" s="126"/>
      <c r="D326" s="126"/>
      <c r="E326" s="19">
        <f t="shared" ref="E326" si="226">SUM(E322:E325)</f>
        <v>1978.9595248000001</v>
      </c>
      <c r="F326" s="3"/>
      <c r="G326" s="33" t="s">
        <v>561</v>
      </c>
      <c r="H326" s="41" t="str">
        <f t="shared" si="217"/>
        <v/>
      </c>
      <c r="I326" t="s">
        <v>465</v>
      </c>
      <c r="J326">
        <v>324</v>
      </c>
      <c r="K326" s="24" t="s">
        <v>367</v>
      </c>
      <c r="L326" s="23">
        <f t="shared" si="224"/>
        <v>105974</v>
      </c>
      <c r="M326" s="23">
        <f t="shared" si="222"/>
        <v>100551</v>
      </c>
      <c r="N326" s="23">
        <f t="shared" ref="N326:N389" si="227">IF(O325&lt;=0,0,INT(O325*($H$4/100)/12))</f>
        <v>5423</v>
      </c>
      <c r="O326" s="23">
        <f t="shared" si="225"/>
        <v>9911167</v>
      </c>
    </row>
    <row r="327" spans="1:15" ht="18.600000000000001" thickBot="1" x14ac:dyDescent="0.5">
      <c r="A327" s="86"/>
      <c r="B327" s="7"/>
      <c r="C327" s="127" t="s">
        <v>12</v>
      </c>
      <c r="D327" s="128"/>
      <c r="E327" s="19">
        <f t="shared" ref="E327" si="228">_xlfn.SWITCH(H317,1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2272.4160000000002</v>
      </c>
      <c r="F327" s="3"/>
      <c r="G327" s="32"/>
      <c r="J327">
        <v>325</v>
      </c>
      <c r="K327" s="24" t="s">
        <v>368</v>
      </c>
      <c r="L327" s="23">
        <f t="shared" si="224"/>
        <v>105974</v>
      </c>
      <c r="M327" s="23">
        <f t="shared" si="222"/>
        <v>100606</v>
      </c>
      <c r="N327" s="23">
        <f t="shared" si="227"/>
        <v>5368</v>
      </c>
      <c r="O327" s="23">
        <f t="shared" si="225"/>
        <v>9810561</v>
      </c>
    </row>
    <row r="328" spans="1:15" ht="18.600000000000001" thickBot="1" x14ac:dyDescent="0.5">
      <c r="A328" s="86"/>
      <c r="B328" s="8"/>
      <c r="C328" s="127" t="s">
        <v>13</v>
      </c>
      <c r="D328" s="128"/>
      <c r="E328" s="19">
        <f t="shared" ref="E328" si="229">IF(H326="",H322*0.05,H326)</f>
        <v>133.99333333333331</v>
      </c>
      <c r="F328" s="3"/>
      <c r="G328" s="30"/>
      <c r="J328">
        <v>326</v>
      </c>
      <c r="K328" s="24" t="s">
        <v>369</v>
      </c>
      <c r="L328" s="23">
        <f t="shared" si="224"/>
        <v>105974</v>
      </c>
      <c r="M328" s="23">
        <f t="shared" si="222"/>
        <v>100660</v>
      </c>
      <c r="N328" s="23">
        <f t="shared" si="227"/>
        <v>5314</v>
      </c>
      <c r="O328" s="23">
        <f t="shared" si="225"/>
        <v>9709901</v>
      </c>
    </row>
    <row r="329" spans="1:15" ht="18.600000000000001" thickBot="1" x14ac:dyDescent="0.5">
      <c r="A329" s="86"/>
      <c r="B329" s="132" t="s">
        <v>14</v>
      </c>
      <c r="C329" s="126"/>
      <c r="D329" s="126"/>
      <c r="E329" s="19">
        <f t="shared" ref="E329" si="230">SUM(E327:E328)</f>
        <v>2406.4093333333335</v>
      </c>
      <c r="F329" s="3"/>
      <c r="G329" s="30"/>
      <c r="J329">
        <v>327</v>
      </c>
      <c r="K329" s="24" t="s">
        <v>370</v>
      </c>
      <c r="L329" s="23">
        <f t="shared" si="224"/>
        <v>105974</v>
      </c>
      <c r="M329" s="23">
        <f t="shared" si="222"/>
        <v>100715</v>
      </c>
      <c r="N329" s="23">
        <f t="shared" si="227"/>
        <v>5259</v>
      </c>
      <c r="O329" s="23">
        <f t="shared" si="225"/>
        <v>9609186</v>
      </c>
    </row>
    <row r="330" spans="1:15" ht="18.600000000000001" thickBot="1" x14ac:dyDescent="0.5">
      <c r="A330" s="97" t="s">
        <v>15</v>
      </c>
      <c r="B330" s="98"/>
      <c r="C330" s="98"/>
      <c r="D330" s="99"/>
      <c r="E330" s="20">
        <f t="shared" ref="E330" si="231">E321+E326+E329</f>
        <v>4624.1688581333337</v>
      </c>
      <c r="F330" s="3"/>
      <c r="G330" s="30"/>
      <c r="J330">
        <v>328</v>
      </c>
      <c r="K330" s="24" t="s">
        <v>371</v>
      </c>
      <c r="L330" s="23">
        <f t="shared" si="224"/>
        <v>105974</v>
      </c>
      <c r="M330" s="23">
        <f t="shared" si="222"/>
        <v>100770</v>
      </c>
      <c r="N330" s="23">
        <f t="shared" si="227"/>
        <v>5204</v>
      </c>
      <c r="O330" s="23">
        <f t="shared" si="225"/>
        <v>9508416</v>
      </c>
    </row>
    <row r="331" spans="1:15" ht="18.600000000000001" thickBot="1" x14ac:dyDescent="0.5">
      <c r="A331" s="6"/>
      <c r="B331" s="126" t="s">
        <v>16</v>
      </c>
      <c r="C331" s="126"/>
      <c r="D331" s="126"/>
      <c r="E331" s="19">
        <f t="shared" ref="E331" si="232">H322</f>
        <v>2679.8666666666659</v>
      </c>
      <c r="F331" s="3"/>
      <c r="J331">
        <v>329</v>
      </c>
      <c r="K331" s="24" t="s">
        <v>372</v>
      </c>
      <c r="L331" s="23">
        <f t="shared" si="224"/>
        <v>105974</v>
      </c>
      <c r="M331" s="23">
        <f t="shared" si="222"/>
        <v>100824</v>
      </c>
      <c r="N331" s="23">
        <f t="shared" si="227"/>
        <v>5150</v>
      </c>
      <c r="O331" s="23">
        <f t="shared" si="225"/>
        <v>9407592</v>
      </c>
    </row>
    <row r="332" spans="1:15" ht="18.600000000000001" thickBot="1" x14ac:dyDescent="0.5">
      <c r="A332" s="97" t="s">
        <v>17</v>
      </c>
      <c r="B332" s="98"/>
      <c r="C332" s="98"/>
      <c r="D332" s="99"/>
      <c r="E332" s="20">
        <f t="shared" ref="E332" si="233">E331</f>
        <v>2679.8666666666659</v>
      </c>
      <c r="F332" s="3"/>
      <c r="J332">
        <v>330</v>
      </c>
      <c r="K332" s="24" t="s">
        <v>373</v>
      </c>
      <c r="L332" s="23">
        <f t="shared" si="224"/>
        <v>105974</v>
      </c>
      <c r="M332" s="23">
        <f t="shared" si="222"/>
        <v>100879</v>
      </c>
      <c r="N332" s="23">
        <f t="shared" si="227"/>
        <v>5095</v>
      </c>
      <c r="O332" s="23">
        <f t="shared" si="225"/>
        <v>9306713</v>
      </c>
    </row>
    <row r="333" spans="1:15" ht="18.600000000000001" thickBot="1" x14ac:dyDescent="0.5">
      <c r="A333" s="96" t="s">
        <v>18</v>
      </c>
      <c r="B333" s="96"/>
      <c r="C333" s="96"/>
      <c r="D333" s="96"/>
      <c r="E333" s="14">
        <f t="shared" ref="E333" si="234">12*H317</f>
        <v>192</v>
      </c>
      <c r="F333" s="3"/>
      <c r="J333">
        <v>331</v>
      </c>
      <c r="K333" s="24" t="s">
        <v>374</v>
      </c>
      <c r="L333" s="23">
        <f t="shared" si="224"/>
        <v>105974</v>
      </c>
      <c r="M333" s="23">
        <f t="shared" si="222"/>
        <v>100933</v>
      </c>
      <c r="N333" s="23">
        <f t="shared" si="227"/>
        <v>5041</v>
      </c>
      <c r="O333" s="23">
        <f t="shared" si="225"/>
        <v>9205780</v>
      </c>
    </row>
    <row r="334" spans="1:15" ht="18.600000000000001" thickBot="1" x14ac:dyDescent="0.5">
      <c r="A334" s="3"/>
      <c r="B334" s="3"/>
      <c r="C334" s="3"/>
      <c r="D334" s="3"/>
      <c r="E334" s="3"/>
      <c r="F334" s="3"/>
      <c r="J334">
        <v>332</v>
      </c>
      <c r="K334" s="24" t="s">
        <v>375</v>
      </c>
      <c r="L334" s="23">
        <f t="shared" si="224"/>
        <v>105974</v>
      </c>
      <c r="M334" s="23">
        <f t="shared" si="222"/>
        <v>100988</v>
      </c>
      <c r="N334" s="23">
        <f t="shared" si="227"/>
        <v>4986</v>
      </c>
      <c r="O334" s="23">
        <f t="shared" si="225"/>
        <v>9104792</v>
      </c>
    </row>
    <row r="335" spans="1:15" ht="18.600000000000001" thickBot="1" x14ac:dyDescent="0.5">
      <c r="A335" s="12" t="s">
        <v>19</v>
      </c>
      <c r="B335" s="12"/>
      <c r="C335" s="12"/>
      <c r="D335" s="12"/>
      <c r="E335" s="15">
        <f t="shared" ref="E335" si="235">-((E332-E330)/E333)</f>
        <v>10.126573913888896</v>
      </c>
      <c r="F335" s="3" t="s">
        <v>20</v>
      </c>
      <c r="J335">
        <v>333</v>
      </c>
      <c r="K335" s="24" t="s">
        <v>376</v>
      </c>
      <c r="L335" s="23">
        <f t="shared" si="224"/>
        <v>105974</v>
      </c>
      <c r="M335" s="23">
        <f t="shared" si="222"/>
        <v>101043</v>
      </c>
      <c r="N335" s="23">
        <f t="shared" si="227"/>
        <v>4931</v>
      </c>
      <c r="O335" s="23">
        <f t="shared" si="225"/>
        <v>9003749</v>
      </c>
    </row>
    <row r="336" spans="1:15" x14ac:dyDescent="0.45">
      <c r="A336" s="3"/>
      <c r="B336" s="3"/>
      <c r="C336" s="3"/>
      <c r="D336" s="3"/>
      <c r="E336" s="3"/>
      <c r="F336" s="3"/>
      <c r="J336">
        <v>334</v>
      </c>
      <c r="K336" s="24" t="s">
        <v>377</v>
      </c>
      <c r="L336" s="23">
        <f t="shared" si="224"/>
        <v>105974</v>
      </c>
      <c r="M336" s="23">
        <f t="shared" si="222"/>
        <v>101097</v>
      </c>
      <c r="N336" s="23">
        <f t="shared" si="227"/>
        <v>4877</v>
      </c>
      <c r="O336" s="23">
        <f t="shared" si="225"/>
        <v>8902652</v>
      </c>
    </row>
    <row r="337" spans="1:15" ht="18.600000000000001" thickBot="1" x14ac:dyDescent="0.5">
      <c r="A337" s="3"/>
      <c r="B337" s="3"/>
      <c r="D337" s="3"/>
      <c r="E337" s="3"/>
      <c r="F337" s="3"/>
      <c r="J337">
        <v>335</v>
      </c>
      <c r="K337" s="24" t="s">
        <v>378</v>
      </c>
      <c r="L337" s="23">
        <f t="shared" si="224"/>
        <v>105974</v>
      </c>
      <c r="M337" s="23">
        <f t="shared" si="222"/>
        <v>101152</v>
      </c>
      <c r="N337" s="23">
        <f t="shared" si="227"/>
        <v>4822</v>
      </c>
      <c r="O337" s="23">
        <f t="shared" si="225"/>
        <v>8801500</v>
      </c>
    </row>
    <row r="338" spans="1:15" ht="18.600000000000001" thickBot="1" x14ac:dyDescent="0.5">
      <c r="A338" s="10" t="s">
        <v>4</v>
      </c>
      <c r="B338" s="3"/>
      <c r="C338" s="3"/>
      <c r="D338" s="3"/>
      <c r="E338" s="4" t="s">
        <v>1</v>
      </c>
      <c r="F338" s="4"/>
      <c r="G338" s="38" t="s">
        <v>508</v>
      </c>
      <c r="H338" s="42">
        <f t="shared" ref="H338" si="236">H317+1</f>
        <v>17</v>
      </c>
      <c r="I338" t="s">
        <v>509</v>
      </c>
      <c r="J338">
        <v>336</v>
      </c>
      <c r="K338" s="24" t="s">
        <v>379</v>
      </c>
      <c r="L338" s="23">
        <f t="shared" si="224"/>
        <v>105974</v>
      </c>
      <c r="M338" s="23">
        <f t="shared" si="222"/>
        <v>101207</v>
      </c>
      <c r="N338" s="23">
        <f t="shared" si="227"/>
        <v>4767</v>
      </c>
      <c r="O338" s="23">
        <f t="shared" si="225"/>
        <v>8700293</v>
      </c>
    </row>
    <row r="339" spans="1:15" ht="18.600000000000001" thickBot="1" x14ac:dyDescent="0.5">
      <c r="A339" s="133" t="s">
        <v>5</v>
      </c>
      <c r="B339" s="133"/>
      <c r="C339" s="133"/>
      <c r="D339" s="133"/>
      <c r="E339" s="11" t="s">
        <v>0</v>
      </c>
      <c r="F339" s="3"/>
      <c r="G339" s="36" t="s">
        <v>464</v>
      </c>
      <c r="H339" s="37">
        <f t="shared" ref="H339:H389" si="237">H318</f>
        <v>3980</v>
      </c>
      <c r="I339" t="s">
        <v>465</v>
      </c>
      <c r="J339">
        <v>337</v>
      </c>
      <c r="K339" s="24" t="s">
        <v>380</v>
      </c>
      <c r="L339" s="23">
        <f t="shared" si="224"/>
        <v>105974</v>
      </c>
      <c r="M339" s="23">
        <f t="shared" si="222"/>
        <v>101262</v>
      </c>
      <c r="N339" s="23">
        <f t="shared" si="227"/>
        <v>4712</v>
      </c>
      <c r="O339" s="23">
        <f t="shared" si="225"/>
        <v>8599031</v>
      </c>
    </row>
    <row r="340" spans="1:15" ht="18.600000000000001" thickBot="1" x14ac:dyDescent="0.5">
      <c r="A340" s="85"/>
      <c r="B340" s="87"/>
      <c r="C340" s="127" t="s">
        <v>3</v>
      </c>
      <c r="D340" s="128"/>
      <c r="E340" s="29">
        <f t="shared" ref="E340" si="238">IF(H342="",0,H342)</f>
        <v>0</v>
      </c>
      <c r="F340" s="3"/>
      <c r="G340" s="25" t="s">
        <v>466</v>
      </c>
      <c r="H340" s="43">
        <f t="shared" si="237"/>
        <v>0.65</v>
      </c>
      <c r="I340" t="s">
        <v>469</v>
      </c>
      <c r="J340">
        <v>338</v>
      </c>
      <c r="K340" s="24" t="s">
        <v>381</v>
      </c>
      <c r="L340" s="23">
        <f t="shared" si="224"/>
        <v>105974</v>
      </c>
      <c r="M340" s="23">
        <f t="shared" si="222"/>
        <v>101317</v>
      </c>
      <c r="N340" s="23">
        <f t="shared" si="227"/>
        <v>4657</v>
      </c>
      <c r="O340" s="23">
        <f t="shared" si="225"/>
        <v>8497714</v>
      </c>
    </row>
    <row r="341" spans="1:15" ht="18.600000000000001" thickBot="1" x14ac:dyDescent="0.5">
      <c r="A341" s="86"/>
      <c r="B341" s="88"/>
      <c r="C341" s="127" t="s">
        <v>6</v>
      </c>
      <c r="D341" s="128"/>
      <c r="E341" s="19">
        <f>IF(H345="",$H$7*0.06,H345)</f>
        <v>238.79999999999998</v>
      </c>
      <c r="F341" s="3"/>
      <c r="G341" s="25" t="s">
        <v>467</v>
      </c>
      <c r="H341" s="37">
        <f t="shared" si="237"/>
        <v>35</v>
      </c>
      <c r="I341" t="s">
        <v>468</v>
      </c>
      <c r="J341">
        <v>339</v>
      </c>
      <c r="K341" s="24" t="s">
        <v>382</v>
      </c>
      <c r="L341" s="23">
        <f t="shared" si="224"/>
        <v>105974</v>
      </c>
      <c r="M341" s="23">
        <f t="shared" si="222"/>
        <v>101372</v>
      </c>
      <c r="N341" s="23">
        <f t="shared" si="227"/>
        <v>4602</v>
      </c>
      <c r="O341" s="23">
        <f t="shared" si="225"/>
        <v>8396342</v>
      </c>
    </row>
    <row r="342" spans="1:15" ht="18.600000000000001" thickBot="1" x14ac:dyDescent="0.5">
      <c r="A342" s="86"/>
      <c r="B342" s="91" t="s">
        <v>7</v>
      </c>
      <c r="C342" s="92"/>
      <c r="D342" s="92"/>
      <c r="E342" s="19">
        <f t="shared" ref="E342" si="239">SUM(E340:E341)</f>
        <v>238.79999999999998</v>
      </c>
      <c r="F342" s="3"/>
      <c r="G342" s="28" t="s">
        <v>3</v>
      </c>
      <c r="H342" s="37">
        <f t="shared" si="237"/>
        <v>0</v>
      </c>
      <c r="I342" t="s">
        <v>465</v>
      </c>
      <c r="J342">
        <v>340</v>
      </c>
      <c r="K342" s="24" t="s">
        <v>383</v>
      </c>
      <c r="L342" s="23">
        <f t="shared" si="224"/>
        <v>105974</v>
      </c>
      <c r="M342" s="23">
        <f t="shared" si="222"/>
        <v>101426</v>
      </c>
      <c r="N342" s="23">
        <f t="shared" si="227"/>
        <v>4548</v>
      </c>
      <c r="O342" s="23">
        <f t="shared" si="225"/>
        <v>8294916</v>
      </c>
    </row>
    <row r="343" spans="1:15" ht="18.600000000000001" thickBot="1" x14ac:dyDescent="0.5">
      <c r="A343" s="86"/>
      <c r="B343" s="7"/>
      <c r="C343" s="5" t="s">
        <v>8</v>
      </c>
      <c r="D343" s="5"/>
      <c r="E343" s="49">
        <f>_xlfn.SWITCH(H338,1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2161.8696</v>
      </c>
      <c r="F343" s="3"/>
      <c r="G343" s="28" t="s">
        <v>16</v>
      </c>
      <c r="H343" s="37">
        <f>真実の家賃!$I$8*AD19</f>
        <v>2622.3777777777768</v>
      </c>
      <c r="I343" t="s">
        <v>465</v>
      </c>
      <c r="J343">
        <v>341</v>
      </c>
      <c r="K343" s="24" t="s">
        <v>384</v>
      </c>
      <c r="L343" s="23">
        <f t="shared" si="224"/>
        <v>105974</v>
      </c>
      <c r="M343" s="23">
        <f t="shared" si="222"/>
        <v>101481</v>
      </c>
      <c r="N343" s="23">
        <f t="shared" si="227"/>
        <v>4493</v>
      </c>
      <c r="O343" s="23">
        <f t="shared" si="225"/>
        <v>8193435</v>
      </c>
    </row>
    <row r="344" spans="1:15" ht="18.600000000000001" thickBot="1" x14ac:dyDescent="0.5">
      <c r="A344" s="86"/>
      <c r="B344" s="8"/>
      <c r="C344" s="127" t="s">
        <v>2</v>
      </c>
      <c r="D344" s="128"/>
      <c r="E344" s="19">
        <f t="shared" ref="E344" si="240">IF(H346="",H338*15,H346)</f>
        <v>255</v>
      </c>
      <c r="F344" s="3"/>
      <c r="G344" s="56" t="s">
        <v>573</v>
      </c>
      <c r="H344" s="40" t="str">
        <f t="shared" si="237"/>
        <v/>
      </c>
      <c r="I344" t="s">
        <v>465</v>
      </c>
      <c r="J344">
        <v>342</v>
      </c>
      <c r="K344" s="24" t="s">
        <v>385</v>
      </c>
      <c r="L344" s="23">
        <f t="shared" si="224"/>
        <v>105974</v>
      </c>
      <c r="M344" s="23">
        <f t="shared" si="222"/>
        <v>101536</v>
      </c>
      <c r="N344" s="23">
        <f t="shared" si="227"/>
        <v>4438</v>
      </c>
      <c r="O344" s="23">
        <f t="shared" si="225"/>
        <v>8091899</v>
      </c>
    </row>
    <row r="345" spans="1:15" ht="18.600000000000001" thickBot="1" x14ac:dyDescent="0.5">
      <c r="A345" s="86"/>
      <c r="B345" s="8"/>
      <c r="C345" s="129" t="s">
        <v>9</v>
      </c>
      <c r="D345" s="129"/>
      <c r="E345" s="19">
        <f t="shared" ref="E345" si="241">_xlfn.SWITCH(H338,1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345" s="3"/>
      <c r="G345" s="34" t="s">
        <v>6</v>
      </c>
      <c r="H345" s="40" t="str">
        <f t="shared" si="237"/>
        <v/>
      </c>
      <c r="I345" t="s">
        <v>465</v>
      </c>
      <c r="J345">
        <v>343</v>
      </c>
      <c r="K345" s="24" t="s">
        <v>386</v>
      </c>
      <c r="L345" s="23">
        <f t="shared" si="224"/>
        <v>105974</v>
      </c>
      <c r="M345" s="23">
        <f t="shared" si="222"/>
        <v>101591</v>
      </c>
      <c r="N345" s="23">
        <f t="shared" si="227"/>
        <v>4383</v>
      </c>
      <c r="O345" s="23">
        <f t="shared" si="225"/>
        <v>7990308</v>
      </c>
    </row>
    <row r="346" spans="1:15" ht="18.600000000000001" thickBot="1" x14ac:dyDescent="0.5">
      <c r="A346" s="86"/>
      <c r="B346" s="8"/>
      <c r="C346" s="130" t="s">
        <v>10</v>
      </c>
      <c r="D346" s="131"/>
      <c r="E346" s="19">
        <f t="shared" ref="E346" si="242">IF(H344="",$AA$3,H338*H344)</f>
        <v>0</v>
      </c>
      <c r="F346" s="3"/>
      <c r="G346" s="28" t="s">
        <v>560</v>
      </c>
      <c r="H346" s="40" t="str">
        <f t="shared" si="237"/>
        <v/>
      </c>
      <c r="I346" t="s">
        <v>465</v>
      </c>
      <c r="J346">
        <v>344</v>
      </c>
      <c r="K346" s="24" t="s">
        <v>387</v>
      </c>
      <c r="L346" s="23">
        <f t="shared" si="224"/>
        <v>105974</v>
      </c>
      <c r="M346" s="23">
        <f t="shared" si="222"/>
        <v>101646</v>
      </c>
      <c r="N346" s="23">
        <f t="shared" si="227"/>
        <v>4328</v>
      </c>
      <c r="O346" s="23">
        <f t="shared" si="225"/>
        <v>7888662</v>
      </c>
    </row>
    <row r="347" spans="1:15" ht="18.600000000000001" thickBot="1" x14ac:dyDescent="0.5">
      <c r="A347" s="86"/>
      <c r="B347" s="132" t="s">
        <v>11</v>
      </c>
      <c r="C347" s="126"/>
      <c r="D347" s="126"/>
      <c r="E347" s="19">
        <f t="shared" ref="E347" si="243">SUM(E343:E346)</f>
        <v>2121.1283248</v>
      </c>
      <c r="F347" s="3"/>
      <c r="G347" s="33" t="s">
        <v>561</v>
      </c>
      <c r="H347" s="41" t="str">
        <f t="shared" si="237"/>
        <v/>
      </c>
      <c r="I347" t="s">
        <v>465</v>
      </c>
      <c r="J347">
        <v>345</v>
      </c>
      <c r="K347" s="24" t="s">
        <v>388</v>
      </c>
      <c r="L347" s="23">
        <f t="shared" si="224"/>
        <v>105974</v>
      </c>
      <c r="M347" s="23">
        <f t="shared" si="222"/>
        <v>101701</v>
      </c>
      <c r="N347" s="23">
        <f t="shared" si="227"/>
        <v>4273</v>
      </c>
      <c r="O347" s="23">
        <f t="shared" si="225"/>
        <v>7786961</v>
      </c>
    </row>
    <row r="348" spans="1:15" ht="18.600000000000001" thickBot="1" x14ac:dyDescent="0.5">
      <c r="A348" s="86"/>
      <c r="B348" s="7"/>
      <c r="C348" s="127" t="s">
        <v>12</v>
      </c>
      <c r="D348" s="128"/>
      <c r="E348" s="19">
        <f t="shared" ref="E348" si="244">_xlfn.SWITCH(H338,1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2159.6819</v>
      </c>
      <c r="F348" s="3"/>
      <c r="G348" s="32"/>
      <c r="J348">
        <v>346</v>
      </c>
      <c r="K348" s="24" t="s">
        <v>389</v>
      </c>
      <c r="L348" s="23">
        <f t="shared" si="224"/>
        <v>105974</v>
      </c>
      <c r="M348" s="23">
        <f t="shared" si="222"/>
        <v>101757</v>
      </c>
      <c r="N348" s="23">
        <f t="shared" si="227"/>
        <v>4217</v>
      </c>
      <c r="O348" s="23">
        <f t="shared" si="225"/>
        <v>7685204</v>
      </c>
    </row>
    <row r="349" spans="1:15" ht="18.600000000000001" thickBot="1" x14ac:dyDescent="0.5">
      <c r="A349" s="86"/>
      <c r="B349" s="8"/>
      <c r="C349" s="127" t="s">
        <v>13</v>
      </c>
      <c r="D349" s="128"/>
      <c r="E349" s="19">
        <f t="shared" ref="E349" si="245">IF(H347="",H343*0.05,H347)</f>
        <v>131.11888888888885</v>
      </c>
      <c r="F349" s="3"/>
      <c r="G349" s="30"/>
      <c r="J349">
        <v>347</v>
      </c>
      <c r="K349" s="24" t="s">
        <v>390</v>
      </c>
      <c r="L349" s="23">
        <f t="shared" si="224"/>
        <v>105974</v>
      </c>
      <c r="M349" s="23">
        <f t="shared" si="222"/>
        <v>101812</v>
      </c>
      <c r="N349" s="23">
        <f t="shared" si="227"/>
        <v>4162</v>
      </c>
      <c r="O349" s="23">
        <f t="shared" si="225"/>
        <v>7583392</v>
      </c>
    </row>
    <row r="350" spans="1:15" ht="18.600000000000001" thickBot="1" x14ac:dyDescent="0.5">
      <c r="A350" s="86"/>
      <c r="B350" s="132" t="s">
        <v>14</v>
      </c>
      <c r="C350" s="126"/>
      <c r="D350" s="126"/>
      <c r="E350" s="19">
        <f t="shared" ref="E350" si="246">SUM(E348:E349)</f>
        <v>2290.8007888888887</v>
      </c>
      <c r="F350" s="3"/>
      <c r="G350" s="30"/>
      <c r="J350">
        <v>348</v>
      </c>
      <c r="K350" s="24" t="s">
        <v>391</v>
      </c>
      <c r="L350" s="23">
        <f t="shared" si="224"/>
        <v>105974</v>
      </c>
      <c r="M350" s="23">
        <f t="shared" si="222"/>
        <v>101867</v>
      </c>
      <c r="N350" s="23">
        <f t="shared" si="227"/>
        <v>4107</v>
      </c>
      <c r="O350" s="23">
        <f t="shared" si="225"/>
        <v>7481525</v>
      </c>
    </row>
    <row r="351" spans="1:15" ht="18.600000000000001" thickBot="1" x14ac:dyDescent="0.5">
      <c r="A351" s="97" t="s">
        <v>15</v>
      </c>
      <c r="B351" s="98"/>
      <c r="C351" s="98"/>
      <c r="D351" s="99"/>
      <c r="E351" s="20">
        <f t="shared" ref="E351" si="247">E342+E347+E350</f>
        <v>4650.7291136888889</v>
      </c>
      <c r="F351" s="3"/>
      <c r="G351" s="30"/>
      <c r="J351">
        <v>349</v>
      </c>
      <c r="K351" s="24" t="s">
        <v>392</v>
      </c>
      <c r="L351" s="23">
        <f t="shared" si="224"/>
        <v>105974</v>
      </c>
      <c r="M351" s="23">
        <f t="shared" si="222"/>
        <v>101922</v>
      </c>
      <c r="N351" s="23">
        <f t="shared" si="227"/>
        <v>4052</v>
      </c>
      <c r="O351" s="23">
        <f t="shared" si="225"/>
        <v>7379603</v>
      </c>
    </row>
    <row r="352" spans="1:15" ht="18.600000000000001" thickBot="1" x14ac:dyDescent="0.5">
      <c r="A352" s="6"/>
      <c r="B352" s="126" t="s">
        <v>16</v>
      </c>
      <c r="C352" s="126"/>
      <c r="D352" s="126"/>
      <c r="E352" s="19">
        <f t="shared" ref="E352" si="248">H343</f>
        <v>2622.3777777777768</v>
      </c>
      <c r="F352" s="3"/>
      <c r="J352">
        <v>350</v>
      </c>
      <c r="K352" s="24" t="s">
        <v>393</v>
      </c>
      <c r="L352" s="23">
        <f t="shared" si="224"/>
        <v>105974</v>
      </c>
      <c r="M352" s="23">
        <f t="shared" si="222"/>
        <v>101977</v>
      </c>
      <c r="N352" s="23">
        <f t="shared" si="227"/>
        <v>3997</v>
      </c>
      <c r="O352" s="23">
        <f t="shared" si="225"/>
        <v>7277626</v>
      </c>
    </row>
    <row r="353" spans="1:15" ht="18.600000000000001" thickBot="1" x14ac:dyDescent="0.5">
      <c r="A353" s="97" t="s">
        <v>17</v>
      </c>
      <c r="B353" s="98"/>
      <c r="C353" s="98"/>
      <c r="D353" s="99"/>
      <c r="E353" s="20">
        <f t="shared" ref="E353" si="249">E352</f>
        <v>2622.3777777777768</v>
      </c>
      <c r="F353" s="3"/>
      <c r="J353">
        <v>351</v>
      </c>
      <c r="K353" s="24" t="s">
        <v>394</v>
      </c>
      <c r="L353" s="23">
        <f t="shared" si="224"/>
        <v>105974</v>
      </c>
      <c r="M353" s="23">
        <f t="shared" si="222"/>
        <v>102032</v>
      </c>
      <c r="N353" s="23">
        <f t="shared" si="227"/>
        <v>3942</v>
      </c>
      <c r="O353" s="23">
        <f t="shared" si="225"/>
        <v>7175594</v>
      </c>
    </row>
    <row r="354" spans="1:15" ht="18.600000000000001" thickBot="1" x14ac:dyDescent="0.5">
      <c r="A354" s="96" t="s">
        <v>18</v>
      </c>
      <c r="B354" s="96"/>
      <c r="C354" s="96"/>
      <c r="D354" s="96"/>
      <c r="E354" s="14">
        <f t="shared" ref="E354" si="250">12*H338</f>
        <v>204</v>
      </c>
      <c r="F354" s="3"/>
      <c r="J354">
        <v>352</v>
      </c>
      <c r="K354" s="24" t="s">
        <v>395</v>
      </c>
      <c r="L354" s="23">
        <f t="shared" si="224"/>
        <v>105974</v>
      </c>
      <c r="M354" s="23">
        <f t="shared" si="222"/>
        <v>102088</v>
      </c>
      <c r="N354" s="23">
        <f t="shared" si="227"/>
        <v>3886</v>
      </c>
      <c r="O354" s="23">
        <f t="shared" si="225"/>
        <v>7073506</v>
      </c>
    </row>
    <row r="355" spans="1:15" ht="18.600000000000001" thickBot="1" x14ac:dyDescent="0.5">
      <c r="A355" s="3"/>
      <c r="B355" s="3"/>
      <c r="C355" s="3"/>
      <c r="D355" s="3"/>
      <c r="E355" s="3"/>
      <c r="F355" s="3"/>
      <c r="J355">
        <v>353</v>
      </c>
      <c r="K355" s="24" t="s">
        <v>396</v>
      </c>
      <c r="L355" s="23">
        <f t="shared" si="224"/>
        <v>105974</v>
      </c>
      <c r="M355" s="23">
        <f t="shared" si="222"/>
        <v>102143</v>
      </c>
      <c r="N355" s="23">
        <f t="shared" si="227"/>
        <v>3831</v>
      </c>
      <c r="O355" s="23">
        <f t="shared" si="225"/>
        <v>6971363</v>
      </c>
    </row>
    <row r="356" spans="1:15" ht="18.600000000000001" thickBot="1" x14ac:dyDescent="0.5">
      <c r="A356" s="12" t="s">
        <v>19</v>
      </c>
      <c r="B356" s="12"/>
      <c r="C356" s="12"/>
      <c r="D356" s="12"/>
      <c r="E356" s="15">
        <f t="shared" ref="E356" si="251">-((E353-E351)/E354)</f>
        <v>9.9428987054466287</v>
      </c>
      <c r="F356" s="3" t="s">
        <v>20</v>
      </c>
      <c r="J356">
        <v>354</v>
      </c>
      <c r="K356" s="24" t="s">
        <v>397</v>
      </c>
      <c r="L356" s="23">
        <f t="shared" si="224"/>
        <v>105974</v>
      </c>
      <c r="M356" s="23">
        <f t="shared" si="222"/>
        <v>102198</v>
      </c>
      <c r="N356" s="23">
        <f t="shared" si="227"/>
        <v>3776</v>
      </c>
      <c r="O356" s="23">
        <f t="shared" si="225"/>
        <v>6869165</v>
      </c>
    </row>
    <row r="357" spans="1:15" x14ac:dyDescent="0.45">
      <c r="A357" s="3"/>
      <c r="B357" s="3"/>
      <c r="C357" s="3"/>
      <c r="D357" s="3"/>
      <c r="E357" s="3"/>
      <c r="F357" s="3"/>
      <c r="J357">
        <v>355</v>
      </c>
      <c r="K357" s="24" t="s">
        <v>398</v>
      </c>
      <c r="L357" s="23">
        <f t="shared" si="224"/>
        <v>105974</v>
      </c>
      <c r="M357" s="23">
        <f t="shared" si="222"/>
        <v>102254</v>
      </c>
      <c r="N357" s="23">
        <f t="shared" si="227"/>
        <v>3720</v>
      </c>
      <c r="O357" s="23">
        <f t="shared" si="225"/>
        <v>6766911</v>
      </c>
    </row>
    <row r="358" spans="1:15" ht="18.600000000000001" thickBot="1" x14ac:dyDescent="0.5">
      <c r="A358" s="3"/>
      <c r="B358" s="3"/>
      <c r="D358" s="3"/>
      <c r="E358" s="3"/>
      <c r="F358" s="3"/>
      <c r="J358">
        <v>356</v>
      </c>
      <c r="K358" s="24" t="s">
        <v>399</v>
      </c>
      <c r="L358" s="23">
        <f t="shared" si="224"/>
        <v>105974</v>
      </c>
      <c r="M358" s="23">
        <f t="shared" si="222"/>
        <v>102309</v>
      </c>
      <c r="N358" s="23">
        <f t="shared" si="227"/>
        <v>3665</v>
      </c>
      <c r="O358" s="23">
        <f t="shared" si="225"/>
        <v>6664602</v>
      </c>
    </row>
    <row r="359" spans="1:15" ht="18.600000000000001" thickBot="1" x14ac:dyDescent="0.5">
      <c r="A359" s="10" t="s">
        <v>4</v>
      </c>
      <c r="B359" s="3"/>
      <c r="C359" s="3"/>
      <c r="D359" s="3"/>
      <c r="E359" s="4" t="s">
        <v>1</v>
      </c>
      <c r="F359" s="4"/>
      <c r="G359" s="38" t="s">
        <v>508</v>
      </c>
      <c r="H359" s="42">
        <f t="shared" ref="H359" si="252">H338+1</f>
        <v>18</v>
      </c>
      <c r="I359" t="s">
        <v>509</v>
      </c>
      <c r="J359">
        <v>357</v>
      </c>
      <c r="K359" s="24" t="s">
        <v>400</v>
      </c>
      <c r="L359" s="23">
        <f t="shared" si="224"/>
        <v>105974</v>
      </c>
      <c r="M359" s="23">
        <f t="shared" si="222"/>
        <v>102365</v>
      </c>
      <c r="N359" s="23">
        <f t="shared" si="227"/>
        <v>3609</v>
      </c>
      <c r="O359" s="23">
        <f t="shared" si="225"/>
        <v>6562237</v>
      </c>
    </row>
    <row r="360" spans="1:15" ht="18.600000000000001" thickBot="1" x14ac:dyDescent="0.5">
      <c r="A360" s="133" t="s">
        <v>5</v>
      </c>
      <c r="B360" s="133"/>
      <c r="C360" s="133"/>
      <c r="D360" s="133"/>
      <c r="E360" s="11" t="s">
        <v>0</v>
      </c>
      <c r="F360" s="3"/>
      <c r="G360" s="36" t="s">
        <v>464</v>
      </c>
      <c r="H360" s="37">
        <f t="shared" ref="H360:H365" si="253">H339</f>
        <v>3980</v>
      </c>
      <c r="I360" t="s">
        <v>465</v>
      </c>
      <c r="J360">
        <v>358</v>
      </c>
      <c r="K360" s="24" t="s">
        <v>401</v>
      </c>
      <c r="L360" s="23">
        <f t="shared" si="224"/>
        <v>105974</v>
      </c>
      <c r="M360" s="23">
        <f t="shared" si="222"/>
        <v>102420</v>
      </c>
      <c r="N360" s="23">
        <f t="shared" si="227"/>
        <v>3554</v>
      </c>
      <c r="O360" s="23">
        <f t="shared" si="225"/>
        <v>6459817</v>
      </c>
    </row>
    <row r="361" spans="1:15" ht="18.600000000000001" thickBot="1" x14ac:dyDescent="0.5">
      <c r="A361" s="85"/>
      <c r="B361" s="87"/>
      <c r="C361" s="127" t="s">
        <v>3</v>
      </c>
      <c r="D361" s="128"/>
      <c r="E361" s="29">
        <f t="shared" ref="E361" si="254">IF(H363="",0,H363)</f>
        <v>0</v>
      </c>
      <c r="F361" s="3"/>
      <c r="G361" s="25" t="s">
        <v>466</v>
      </c>
      <c r="H361" s="43">
        <f t="shared" si="253"/>
        <v>0.65</v>
      </c>
      <c r="I361" t="s">
        <v>469</v>
      </c>
      <c r="J361">
        <v>359</v>
      </c>
      <c r="K361" s="24" t="s">
        <v>402</v>
      </c>
      <c r="L361" s="23">
        <f t="shared" si="224"/>
        <v>105974</v>
      </c>
      <c r="M361" s="23">
        <f t="shared" si="222"/>
        <v>102475</v>
      </c>
      <c r="N361" s="23">
        <f t="shared" si="227"/>
        <v>3499</v>
      </c>
      <c r="O361" s="23">
        <f t="shared" si="225"/>
        <v>6357342</v>
      </c>
    </row>
    <row r="362" spans="1:15" ht="18.600000000000001" thickBot="1" x14ac:dyDescent="0.5">
      <c r="A362" s="86"/>
      <c r="B362" s="88"/>
      <c r="C362" s="127" t="s">
        <v>6</v>
      </c>
      <c r="D362" s="128"/>
      <c r="E362" s="19">
        <f>IF(H366="",$H$7*0.06,H366)</f>
        <v>238.79999999999998</v>
      </c>
      <c r="F362" s="3"/>
      <c r="G362" s="25" t="s">
        <v>467</v>
      </c>
      <c r="H362" s="37">
        <f t="shared" si="253"/>
        <v>35</v>
      </c>
      <c r="I362" t="s">
        <v>468</v>
      </c>
      <c r="J362">
        <v>360</v>
      </c>
      <c r="K362" s="24" t="s">
        <v>403</v>
      </c>
      <c r="L362" s="23">
        <f t="shared" si="224"/>
        <v>105974</v>
      </c>
      <c r="M362" s="23">
        <f t="shared" si="222"/>
        <v>102531</v>
      </c>
      <c r="N362" s="23">
        <f t="shared" si="227"/>
        <v>3443</v>
      </c>
      <c r="O362" s="23">
        <f t="shared" si="225"/>
        <v>6254811</v>
      </c>
    </row>
    <row r="363" spans="1:15" ht="18.600000000000001" thickBot="1" x14ac:dyDescent="0.5">
      <c r="A363" s="86"/>
      <c r="B363" s="91" t="s">
        <v>7</v>
      </c>
      <c r="C363" s="92"/>
      <c r="D363" s="92"/>
      <c r="E363" s="19">
        <f t="shared" ref="E363" si="255">SUM(E361:E362)</f>
        <v>238.79999999999998</v>
      </c>
      <c r="F363" s="3"/>
      <c r="G363" s="28" t="s">
        <v>3</v>
      </c>
      <c r="H363" s="37">
        <f t="shared" si="253"/>
        <v>0</v>
      </c>
      <c r="I363" t="s">
        <v>465</v>
      </c>
      <c r="J363">
        <v>361</v>
      </c>
      <c r="K363" s="24" t="s">
        <v>404</v>
      </c>
      <c r="L363" s="23">
        <f t="shared" si="224"/>
        <v>105974</v>
      </c>
      <c r="M363" s="23">
        <f t="shared" si="222"/>
        <v>102586</v>
      </c>
      <c r="N363" s="23">
        <f t="shared" si="227"/>
        <v>3388</v>
      </c>
      <c r="O363" s="23">
        <f t="shared" si="225"/>
        <v>6152225</v>
      </c>
    </row>
    <row r="364" spans="1:15" ht="18.600000000000001" thickBot="1" x14ac:dyDescent="0.5">
      <c r="A364" s="86"/>
      <c r="B364" s="7"/>
      <c r="C364" s="5" t="s">
        <v>8</v>
      </c>
      <c r="D364" s="5"/>
      <c r="E364" s="49">
        <f>_xlfn.SWITCH(H359,1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2289.0383999999999</v>
      </c>
      <c r="F364" s="3"/>
      <c r="G364" s="28" t="s">
        <v>16</v>
      </c>
      <c r="H364" s="37">
        <f>真実の家賃!$I$8*AD20</f>
        <v>2564.8888888888878</v>
      </c>
      <c r="I364" t="s">
        <v>465</v>
      </c>
      <c r="J364">
        <v>362</v>
      </c>
      <c r="K364" s="24" t="s">
        <v>405</v>
      </c>
      <c r="L364" s="23">
        <f t="shared" si="224"/>
        <v>105974</v>
      </c>
      <c r="M364" s="23">
        <f t="shared" si="222"/>
        <v>102642</v>
      </c>
      <c r="N364" s="23">
        <f t="shared" si="227"/>
        <v>3332</v>
      </c>
      <c r="O364" s="23">
        <f t="shared" si="225"/>
        <v>6049583</v>
      </c>
    </row>
    <row r="365" spans="1:15" ht="18.600000000000001" thickBot="1" x14ac:dyDescent="0.5">
      <c r="A365" s="86"/>
      <c r="B365" s="8"/>
      <c r="C365" s="127" t="s">
        <v>2</v>
      </c>
      <c r="D365" s="128"/>
      <c r="E365" s="19">
        <f t="shared" ref="E365" si="256">IF(H367="",H359*15,H367)</f>
        <v>270</v>
      </c>
      <c r="F365" s="3"/>
      <c r="G365" s="56" t="s">
        <v>573</v>
      </c>
      <c r="H365" s="40" t="str">
        <f t="shared" si="253"/>
        <v/>
      </c>
      <c r="I365" t="s">
        <v>465</v>
      </c>
      <c r="J365">
        <v>363</v>
      </c>
      <c r="K365" s="24" t="s">
        <v>406</v>
      </c>
      <c r="L365" s="23">
        <f t="shared" si="224"/>
        <v>105974</v>
      </c>
      <c r="M365" s="23">
        <f t="shared" si="222"/>
        <v>102698</v>
      </c>
      <c r="N365" s="23">
        <f t="shared" si="227"/>
        <v>3276</v>
      </c>
      <c r="O365" s="23">
        <f t="shared" si="225"/>
        <v>5946885</v>
      </c>
    </row>
    <row r="366" spans="1:15" ht="18.600000000000001" thickBot="1" x14ac:dyDescent="0.5">
      <c r="A366" s="86"/>
      <c r="B366" s="8"/>
      <c r="C366" s="129" t="s">
        <v>9</v>
      </c>
      <c r="D366" s="129"/>
      <c r="E366" s="19">
        <f t="shared" ref="E366" si="257">_xlfn.SWITCH(H359,1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366" s="3"/>
      <c r="G366" s="34" t="s">
        <v>6</v>
      </c>
      <c r="H366" s="40" t="str">
        <f t="shared" si="217"/>
        <v/>
      </c>
      <c r="I366" t="s">
        <v>465</v>
      </c>
      <c r="J366">
        <v>364</v>
      </c>
      <c r="K366" s="24" t="s">
        <v>407</v>
      </c>
      <c r="L366" s="23">
        <f t="shared" si="224"/>
        <v>105974</v>
      </c>
      <c r="M366" s="23">
        <f t="shared" si="222"/>
        <v>102753</v>
      </c>
      <c r="N366" s="23">
        <f t="shared" si="227"/>
        <v>3221</v>
      </c>
      <c r="O366" s="23">
        <f t="shared" si="225"/>
        <v>5844132</v>
      </c>
    </row>
    <row r="367" spans="1:15" ht="18.600000000000001" thickBot="1" x14ac:dyDescent="0.5">
      <c r="A367" s="86"/>
      <c r="B367" s="8"/>
      <c r="C367" s="130" t="s">
        <v>10</v>
      </c>
      <c r="D367" s="131"/>
      <c r="E367" s="19">
        <f t="shared" ref="E367" si="258">IF(H365="",$AA$3,H359*H365)</f>
        <v>0</v>
      </c>
      <c r="F367" s="3"/>
      <c r="G367" s="28" t="s">
        <v>560</v>
      </c>
      <c r="H367" s="40" t="str">
        <f t="shared" si="217"/>
        <v/>
      </c>
      <c r="I367" t="s">
        <v>465</v>
      </c>
      <c r="J367">
        <v>365</v>
      </c>
      <c r="K367" s="24" t="s">
        <v>408</v>
      </c>
      <c r="L367" s="23">
        <f t="shared" si="224"/>
        <v>105974</v>
      </c>
      <c r="M367" s="23">
        <f t="shared" si="222"/>
        <v>102809</v>
      </c>
      <c r="N367" s="23">
        <f t="shared" si="227"/>
        <v>3165</v>
      </c>
      <c r="O367" s="23">
        <f t="shared" si="225"/>
        <v>5741323</v>
      </c>
    </row>
    <row r="368" spans="1:15" ht="18.600000000000001" thickBot="1" x14ac:dyDescent="0.5">
      <c r="A368" s="86"/>
      <c r="B368" s="132" t="s">
        <v>11</v>
      </c>
      <c r="C368" s="126"/>
      <c r="D368" s="126"/>
      <c r="E368" s="19">
        <f t="shared" ref="E368" si="259">SUM(E364:E367)</f>
        <v>2263.2971247999999</v>
      </c>
      <c r="F368" s="3"/>
      <c r="G368" s="33" t="s">
        <v>561</v>
      </c>
      <c r="H368" s="41" t="str">
        <f t="shared" si="217"/>
        <v/>
      </c>
      <c r="I368" t="s">
        <v>465</v>
      </c>
      <c r="J368">
        <v>366</v>
      </c>
      <c r="K368" s="24" t="s">
        <v>409</v>
      </c>
      <c r="L368" s="23">
        <f t="shared" si="224"/>
        <v>105974</v>
      </c>
      <c r="M368" s="23">
        <f t="shared" si="222"/>
        <v>102865</v>
      </c>
      <c r="N368" s="23">
        <f t="shared" si="227"/>
        <v>3109</v>
      </c>
      <c r="O368" s="23">
        <f t="shared" si="225"/>
        <v>5638458</v>
      </c>
    </row>
    <row r="369" spans="1:15" ht="18.600000000000001" thickBot="1" x14ac:dyDescent="0.5">
      <c r="A369" s="86"/>
      <c r="B369" s="7"/>
      <c r="C369" s="127" t="s">
        <v>12</v>
      </c>
      <c r="D369" s="128"/>
      <c r="E369" s="19">
        <f t="shared" ref="E369" si="260">_xlfn.SWITCH(H359,1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2046.2128</v>
      </c>
      <c r="F369" s="3"/>
      <c r="G369" s="32"/>
      <c r="J369">
        <v>367</v>
      </c>
      <c r="K369" s="24" t="s">
        <v>410</v>
      </c>
      <c r="L369" s="23">
        <f t="shared" si="224"/>
        <v>105974</v>
      </c>
      <c r="M369" s="23">
        <f t="shared" si="222"/>
        <v>102920</v>
      </c>
      <c r="N369" s="23">
        <f t="shared" si="227"/>
        <v>3054</v>
      </c>
      <c r="O369" s="23">
        <f t="shared" si="225"/>
        <v>5535538</v>
      </c>
    </row>
    <row r="370" spans="1:15" ht="18.600000000000001" thickBot="1" x14ac:dyDescent="0.5">
      <c r="A370" s="86"/>
      <c r="B370" s="8"/>
      <c r="C370" s="127" t="s">
        <v>13</v>
      </c>
      <c r="D370" s="128"/>
      <c r="E370" s="19">
        <f t="shared" ref="E370" si="261">IF(H368="",H364*0.05,H368)</f>
        <v>128.24444444444438</v>
      </c>
      <c r="F370" s="3"/>
      <c r="G370" s="30"/>
      <c r="J370">
        <v>368</v>
      </c>
      <c r="K370" s="24" t="s">
        <v>411</v>
      </c>
      <c r="L370" s="23">
        <f t="shared" si="224"/>
        <v>105974</v>
      </c>
      <c r="M370" s="23">
        <f t="shared" si="222"/>
        <v>102976</v>
      </c>
      <c r="N370" s="23">
        <f t="shared" si="227"/>
        <v>2998</v>
      </c>
      <c r="O370" s="23">
        <f t="shared" si="225"/>
        <v>5432562</v>
      </c>
    </row>
    <row r="371" spans="1:15" ht="18.600000000000001" thickBot="1" x14ac:dyDescent="0.5">
      <c r="A371" s="86"/>
      <c r="B371" s="132" t="s">
        <v>14</v>
      </c>
      <c r="C371" s="126"/>
      <c r="D371" s="126"/>
      <c r="E371" s="19">
        <f t="shared" ref="E371" si="262">SUM(E369:E370)</f>
        <v>2174.4572444444443</v>
      </c>
      <c r="F371" s="3"/>
      <c r="G371" s="30"/>
      <c r="J371">
        <v>369</v>
      </c>
      <c r="K371" s="24" t="s">
        <v>412</v>
      </c>
      <c r="L371" s="23">
        <f t="shared" si="224"/>
        <v>105974</v>
      </c>
      <c r="M371" s="23">
        <f t="shared" si="222"/>
        <v>103032</v>
      </c>
      <c r="N371" s="23">
        <f t="shared" si="227"/>
        <v>2942</v>
      </c>
      <c r="O371" s="23">
        <f t="shared" si="225"/>
        <v>5329530</v>
      </c>
    </row>
    <row r="372" spans="1:15" ht="18.600000000000001" thickBot="1" x14ac:dyDescent="0.5">
      <c r="A372" s="97" t="s">
        <v>15</v>
      </c>
      <c r="B372" s="98"/>
      <c r="C372" s="98"/>
      <c r="D372" s="99"/>
      <c r="E372" s="20">
        <f t="shared" ref="E372" si="263">E363+E368+E371</f>
        <v>4676.5543692444444</v>
      </c>
      <c r="F372" s="3"/>
      <c r="G372" s="30"/>
      <c r="J372">
        <v>370</v>
      </c>
      <c r="K372" s="24" t="s">
        <v>413</v>
      </c>
      <c r="L372" s="23">
        <f t="shared" si="224"/>
        <v>105974</v>
      </c>
      <c r="M372" s="23">
        <f t="shared" si="222"/>
        <v>103088</v>
      </c>
      <c r="N372" s="23">
        <f t="shared" si="227"/>
        <v>2886</v>
      </c>
      <c r="O372" s="23">
        <f t="shared" si="225"/>
        <v>5226442</v>
      </c>
    </row>
    <row r="373" spans="1:15" ht="18.600000000000001" thickBot="1" x14ac:dyDescent="0.5">
      <c r="A373" s="6"/>
      <c r="B373" s="126" t="s">
        <v>16</v>
      </c>
      <c r="C373" s="126"/>
      <c r="D373" s="126"/>
      <c r="E373" s="19">
        <f t="shared" ref="E373" si="264">H364</f>
        <v>2564.8888888888878</v>
      </c>
      <c r="F373" s="3"/>
      <c r="J373">
        <v>371</v>
      </c>
      <c r="K373" s="24" t="s">
        <v>414</v>
      </c>
      <c r="L373" s="23">
        <f t="shared" si="224"/>
        <v>105974</v>
      </c>
      <c r="M373" s="23">
        <f t="shared" si="222"/>
        <v>103144</v>
      </c>
      <c r="N373" s="23">
        <f t="shared" si="227"/>
        <v>2830</v>
      </c>
      <c r="O373" s="23">
        <f t="shared" si="225"/>
        <v>5123298</v>
      </c>
    </row>
    <row r="374" spans="1:15" ht="18.600000000000001" thickBot="1" x14ac:dyDescent="0.5">
      <c r="A374" s="97" t="s">
        <v>17</v>
      </c>
      <c r="B374" s="98"/>
      <c r="C374" s="98"/>
      <c r="D374" s="99"/>
      <c r="E374" s="20">
        <f t="shared" ref="E374" si="265">E373</f>
        <v>2564.8888888888878</v>
      </c>
      <c r="F374" s="3"/>
      <c r="J374">
        <v>372</v>
      </c>
      <c r="K374" s="24" t="s">
        <v>415</v>
      </c>
      <c r="L374" s="23">
        <f t="shared" si="224"/>
        <v>105974</v>
      </c>
      <c r="M374" s="23">
        <f t="shared" si="222"/>
        <v>103199</v>
      </c>
      <c r="N374" s="23">
        <f t="shared" si="227"/>
        <v>2775</v>
      </c>
      <c r="O374" s="23">
        <f t="shared" si="225"/>
        <v>5020099</v>
      </c>
    </row>
    <row r="375" spans="1:15" ht="18.600000000000001" thickBot="1" x14ac:dyDescent="0.5">
      <c r="A375" s="96" t="s">
        <v>18</v>
      </c>
      <c r="B375" s="96"/>
      <c r="C375" s="96"/>
      <c r="D375" s="96"/>
      <c r="E375" s="14">
        <f t="shared" ref="E375" si="266">12*H359</f>
        <v>216</v>
      </c>
      <c r="F375" s="3"/>
      <c r="J375">
        <v>373</v>
      </c>
      <c r="K375" s="24" t="s">
        <v>416</v>
      </c>
      <c r="L375" s="23">
        <f t="shared" si="224"/>
        <v>105974</v>
      </c>
      <c r="M375" s="23">
        <f t="shared" si="222"/>
        <v>103255</v>
      </c>
      <c r="N375" s="23">
        <f t="shared" si="227"/>
        <v>2719</v>
      </c>
      <c r="O375" s="23">
        <f t="shared" si="225"/>
        <v>4916844</v>
      </c>
    </row>
    <row r="376" spans="1:15" ht="18.600000000000001" thickBot="1" x14ac:dyDescent="0.5">
      <c r="A376" s="3"/>
      <c r="B376" s="3"/>
      <c r="C376" s="3"/>
      <c r="D376" s="3"/>
      <c r="E376" s="3"/>
      <c r="F376" s="3"/>
      <c r="J376">
        <v>374</v>
      </c>
      <c r="K376" s="24" t="s">
        <v>417</v>
      </c>
      <c r="L376" s="23">
        <f t="shared" si="224"/>
        <v>105974</v>
      </c>
      <c r="M376" s="23">
        <f t="shared" si="222"/>
        <v>103311</v>
      </c>
      <c r="N376" s="23">
        <f t="shared" si="227"/>
        <v>2663</v>
      </c>
      <c r="O376" s="23">
        <f t="shared" si="225"/>
        <v>4813533</v>
      </c>
    </row>
    <row r="377" spans="1:15" ht="18.600000000000001" thickBot="1" x14ac:dyDescent="0.5">
      <c r="A377" s="12" t="s">
        <v>19</v>
      </c>
      <c r="B377" s="12"/>
      <c r="C377" s="12"/>
      <c r="D377" s="12"/>
      <c r="E377" s="15">
        <f t="shared" ref="E377" si="267">-((E374-E372)/E375)</f>
        <v>9.7762290757201686</v>
      </c>
      <c r="F377" s="3" t="s">
        <v>20</v>
      </c>
      <c r="J377">
        <v>375</v>
      </c>
      <c r="K377" s="24" t="s">
        <v>418</v>
      </c>
      <c r="L377" s="23">
        <f t="shared" si="224"/>
        <v>105974</v>
      </c>
      <c r="M377" s="23">
        <f t="shared" si="222"/>
        <v>103367</v>
      </c>
      <c r="N377" s="23">
        <f t="shared" si="227"/>
        <v>2607</v>
      </c>
      <c r="O377" s="23">
        <f t="shared" si="225"/>
        <v>4710166</v>
      </c>
    </row>
    <row r="378" spans="1:15" x14ac:dyDescent="0.45">
      <c r="A378" s="3"/>
      <c r="B378" s="3"/>
      <c r="C378" s="3"/>
      <c r="D378" s="3"/>
      <c r="E378" s="3"/>
      <c r="F378" s="3"/>
      <c r="J378">
        <v>376</v>
      </c>
      <c r="K378" s="24" t="s">
        <v>419</v>
      </c>
      <c r="L378" s="23">
        <f t="shared" si="224"/>
        <v>105974</v>
      </c>
      <c r="M378" s="23">
        <f t="shared" si="222"/>
        <v>103423</v>
      </c>
      <c r="N378" s="23">
        <f t="shared" si="227"/>
        <v>2551</v>
      </c>
      <c r="O378" s="23">
        <f t="shared" si="225"/>
        <v>4606743</v>
      </c>
    </row>
    <row r="379" spans="1:15" ht="18.600000000000001" thickBot="1" x14ac:dyDescent="0.5">
      <c r="A379" s="3"/>
      <c r="B379" s="3"/>
      <c r="D379" s="3"/>
      <c r="E379" s="3"/>
      <c r="F379" s="3"/>
      <c r="J379">
        <v>377</v>
      </c>
      <c r="K379" s="24" t="s">
        <v>420</v>
      </c>
      <c r="L379" s="23">
        <f t="shared" si="224"/>
        <v>105974</v>
      </c>
      <c r="M379" s="23">
        <f t="shared" si="222"/>
        <v>103479</v>
      </c>
      <c r="N379" s="23">
        <f t="shared" si="227"/>
        <v>2495</v>
      </c>
      <c r="O379" s="23">
        <f t="shared" si="225"/>
        <v>4503264</v>
      </c>
    </row>
    <row r="380" spans="1:15" ht="18.600000000000001" thickBot="1" x14ac:dyDescent="0.5">
      <c r="A380" s="10" t="s">
        <v>4</v>
      </c>
      <c r="B380" s="3"/>
      <c r="C380" s="3"/>
      <c r="D380" s="3"/>
      <c r="E380" s="4" t="s">
        <v>1</v>
      </c>
      <c r="F380" s="4"/>
      <c r="G380" s="38" t="s">
        <v>508</v>
      </c>
      <c r="H380" s="42">
        <f t="shared" ref="H380" si="268">H359+1</f>
        <v>19</v>
      </c>
      <c r="I380" t="s">
        <v>509</v>
      </c>
      <c r="J380">
        <v>378</v>
      </c>
      <c r="K380" s="24" t="s">
        <v>421</v>
      </c>
      <c r="L380" s="23">
        <f t="shared" si="224"/>
        <v>105974</v>
      </c>
      <c r="M380" s="23">
        <f t="shared" si="222"/>
        <v>103535</v>
      </c>
      <c r="N380" s="23">
        <f t="shared" si="227"/>
        <v>2439</v>
      </c>
      <c r="O380" s="23">
        <f t="shared" si="225"/>
        <v>4399729</v>
      </c>
    </row>
    <row r="381" spans="1:15" ht="18.600000000000001" thickBot="1" x14ac:dyDescent="0.5">
      <c r="A381" s="133" t="s">
        <v>5</v>
      </c>
      <c r="B381" s="133"/>
      <c r="C381" s="133"/>
      <c r="D381" s="133"/>
      <c r="E381" s="11" t="s">
        <v>0</v>
      </c>
      <c r="F381" s="3"/>
      <c r="G381" s="36" t="s">
        <v>464</v>
      </c>
      <c r="H381" s="37">
        <f t="shared" ref="H381:H386" si="269">H360</f>
        <v>3980</v>
      </c>
      <c r="I381" t="s">
        <v>465</v>
      </c>
      <c r="J381">
        <v>379</v>
      </c>
      <c r="K381" s="24" t="s">
        <v>422</v>
      </c>
      <c r="L381" s="23">
        <f t="shared" si="224"/>
        <v>105974</v>
      </c>
      <c r="M381" s="23">
        <f t="shared" si="222"/>
        <v>103591</v>
      </c>
      <c r="N381" s="23">
        <f t="shared" si="227"/>
        <v>2383</v>
      </c>
      <c r="O381" s="23">
        <f t="shared" si="225"/>
        <v>4296138</v>
      </c>
    </row>
    <row r="382" spans="1:15" ht="18.600000000000001" thickBot="1" x14ac:dyDescent="0.5">
      <c r="A382" s="85"/>
      <c r="B382" s="87"/>
      <c r="C382" s="127" t="s">
        <v>3</v>
      </c>
      <c r="D382" s="128"/>
      <c r="E382" s="29">
        <f t="shared" ref="E382" si="270">IF(H384="",0,H384)</f>
        <v>0</v>
      </c>
      <c r="F382" s="3"/>
      <c r="G382" s="25" t="s">
        <v>466</v>
      </c>
      <c r="H382" s="43">
        <f t="shared" si="269"/>
        <v>0.65</v>
      </c>
      <c r="I382" t="s">
        <v>469</v>
      </c>
      <c r="J382">
        <v>380</v>
      </c>
      <c r="K382" s="24" t="s">
        <v>423</v>
      </c>
      <c r="L382" s="23">
        <f t="shared" si="224"/>
        <v>105974</v>
      </c>
      <c r="M382" s="23">
        <f t="shared" si="222"/>
        <v>103647</v>
      </c>
      <c r="N382" s="23">
        <f t="shared" si="227"/>
        <v>2327</v>
      </c>
      <c r="O382" s="23">
        <f t="shared" si="225"/>
        <v>4192491</v>
      </c>
    </row>
    <row r="383" spans="1:15" ht="18.600000000000001" thickBot="1" x14ac:dyDescent="0.5">
      <c r="A383" s="86"/>
      <c r="B383" s="88"/>
      <c r="C383" s="127" t="s">
        <v>6</v>
      </c>
      <c r="D383" s="128"/>
      <c r="E383" s="19">
        <f>IF(H387="",$H$7*0.06,H387)</f>
        <v>238.79999999999998</v>
      </c>
      <c r="F383" s="3"/>
      <c r="G383" s="25" t="s">
        <v>467</v>
      </c>
      <c r="H383" s="37">
        <f t="shared" si="269"/>
        <v>35</v>
      </c>
      <c r="I383" t="s">
        <v>468</v>
      </c>
      <c r="J383">
        <v>381</v>
      </c>
      <c r="K383" s="24" t="s">
        <v>424</v>
      </c>
      <c r="L383" s="23">
        <f t="shared" si="224"/>
        <v>105974</v>
      </c>
      <c r="M383" s="23">
        <f t="shared" si="222"/>
        <v>103704</v>
      </c>
      <c r="N383" s="23">
        <f t="shared" si="227"/>
        <v>2270</v>
      </c>
      <c r="O383" s="23">
        <f t="shared" si="225"/>
        <v>4088787</v>
      </c>
    </row>
    <row r="384" spans="1:15" ht="18.600000000000001" thickBot="1" x14ac:dyDescent="0.5">
      <c r="A384" s="86"/>
      <c r="B384" s="91" t="s">
        <v>7</v>
      </c>
      <c r="C384" s="92"/>
      <c r="D384" s="92"/>
      <c r="E384" s="19">
        <f t="shared" ref="E384" si="271">SUM(E382:E383)</f>
        <v>238.79999999999998</v>
      </c>
      <c r="F384" s="3"/>
      <c r="G384" s="28" t="s">
        <v>3</v>
      </c>
      <c r="H384" s="37">
        <f t="shared" si="269"/>
        <v>0</v>
      </c>
      <c r="I384" t="s">
        <v>465</v>
      </c>
      <c r="J384">
        <v>382</v>
      </c>
      <c r="K384" s="24" t="s">
        <v>425</v>
      </c>
      <c r="L384" s="23">
        <f t="shared" si="224"/>
        <v>105974</v>
      </c>
      <c r="M384" s="23">
        <f t="shared" si="222"/>
        <v>103760</v>
      </c>
      <c r="N384" s="23">
        <f t="shared" si="227"/>
        <v>2214</v>
      </c>
      <c r="O384" s="23">
        <f t="shared" si="225"/>
        <v>3985027</v>
      </c>
    </row>
    <row r="385" spans="1:15" ht="18.600000000000001" thickBot="1" x14ac:dyDescent="0.5">
      <c r="A385" s="86"/>
      <c r="B385" s="7"/>
      <c r="C385" s="5" t="s">
        <v>8</v>
      </c>
      <c r="D385" s="5"/>
      <c r="E385" s="49">
        <f>_xlfn.SWITCH(H380,1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2416.2071999999998</v>
      </c>
      <c r="F385" s="3"/>
      <c r="G385" s="28" t="s">
        <v>16</v>
      </c>
      <c r="H385" s="37">
        <f>真実の家賃!$I$8*AD21</f>
        <v>2507.3999999999987</v>
      </c>
      <c r="I385" t="s">
        <v>465</v>
      </c>
      <c r="J385">
        <v>383</v>
      </c>
      <c r="K385" s="24" t="s">
        <v>426</v>
      </c>
      <c r="L385" s="23">
        <f t="shared" si="224"/>
        <v>105974</v>
      </c>
      <c r="M385" s="23">
        <f t="shared" si="222"/>
        <v>103816</v>
      </c>
      <c r="N385" s="23">
        <f t="shared" si="227"/>
        <v>2158</v>
      </c>
      <c r="O385" s="23">
        <f t="shared" si="225"/>
        <v>3881211</v>
      </c>
    </row>
    <row r="386" spans="1:15" ht="18.600000000000001" thickBot="1" x14ac:dyDescent="0.5">
      <c r="A386" s="86"/>
      <c r="B386" s="8"/>
      <c r="C386" s="127" t="s">
        <v>2</v>
      </c>
      <c r="D386" s="128"/>
      <c r="E386" s="19">
        <f t="shared" ref="E386" si="272">IF(H388="",H380*15,H388)</f>
        <v>285</v>
      </c>
      <c r="F386" s="3"/>
      <c r="G386" s="56" t="s">
        <v>573</v>
      </c>
      <c r="H386" s="40" t="str">
        <f t="shared" si="269"/>
        <v/>
      </c>
      <c r="I386" t="s">
        <v>465</v>
      </c>
      <c r="J386">
        <v>384</v>
      </c>
      <c r="K386" s="24" t="s">
        <v>427</v>
      </c>
      <c r="L386" s="23">
        <f t="shared" si="224"/>
        <v>105974</v>
      </c>
      <c r="M386" s="23">
        <f t="shared" si="222"/>
        <v>103872</v>
      </c>
      <c r="N386" s="23">
        <f t="shared" si="227"/>
        <v>2102</v>
      </c>
      <c r="O386" s="23">
        <f t="shared" si="225"/>
        <v>3777339</v>
      </c>
    </row>
    <row r="387" spans="1:15" ht="18.600000000000001" thickBot="1" x14ac:dyDescent="0.5">
      <c r="A387" s="86"/>
      <c r="B387" s="8"/>
      <c r="C387" s="129" t="s">
        <v>9</v>
      </c>
      <c r="D387" s="129"/>
      <c r="E387" s="19">
        <f t="shared" ref="E387" si="273">_xlfn.SWITCH(H380,1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387" s="3"/>
      <c r="G387" s="34" t="s">
        <v>6</v>
      </c>
      <c r="H387" s="40" t="str">
        <f t="shared" si="237"/>
        <v/>
      </c>
      <c r="I387" t="s">
        <v>465</v>
      </c>
      <c r="J387">
        <v>385</v>
      </c>
      <c r="K387" s="24" t="s">
        <v>428</v>
      </c>
      <c r="L387" s="23">
        <f t="shared" si="224"/>
        <v>105974</v>
      </c>
      <c r="M387" s="23">
        <f t="shared" si="222"/>
        <v>103928</v>
      </c>
      <c r="N387" s="23">
        <f t="shared" si="227"/>
        <v>2046</v>
      </c>
      <c r="O387" s="23">
        <f t="shared" si="225"/>
        <v>3673411</v>
      </c>
    </row>
    <row r="388" spans="1:15" ht="18.600000000000001" thickBot="1" x14ac:dyDescent="0.5">
      <c r="A388" s="86"/>
      <c r="B388" s="8"/>
      <c r="C388" s="130" t="s">
        <v>10</v>
      </c>
      <c r="D388" s="131"/>
      <c r="E388" s="19">
        <f t="shared" ref="E388" si="274">IF(H386="",$AA$3,H380*H386)</f>
        <v>0</v>
      </c>
      <c r="F388" s="3"/>
      <c r="G388" s="28" t="s">
        <v>560</v>
      </c>
      <c r="H388" s="40" t="str">
        <f t="shared" si="237"/>
        <v/>
      </c>
      <c r="I388" t="s">
        <v>465</v>
      </c>
      <c r="J388">
        <v>386</v>
      </c>
      <c r="K388" s="24" t="s">
        <v>429</v>
      </c>
      <c r="L388" s="23">
        <f t="shared" si="224"/>
        <v>105974</v>
      </c>
      <c r="M388" s="23">
        <f t="shared" ref="M388:M422" si="275">IF(L388&lt;=0,0,L388-N388)</f>
        <v>103985</v>
      </c>
      <c r="N388" s="23">
        <f t="shared" si="227"/>
        <v>1989</v>
      </c>
      <c r="O388" s="23">
        <f t="shared" si="225"/>
        <v>3569426</v>
      </c>
    </row>
    <row r="389" spans="1:15" ht="18.600000000000001" thickBot="1" x14ac:dyDescent="0.5">
      <c r="A389" s="86"/>
      <c r="B389" s="132" t="s">
        <v>11</v>
      </c>
      <c r="C389" s="126"/>
      <c r="D389" s="126"/>
      <c r="E389" s="19">
        <f t="shared" ref="E389" si="276">SUM(E385:E388)</f>
        <v>2405.4659247999998</v>
      </c>
      <c r="F389" s="3"/>
      <c r="G389" s="33" t="s">
        <v>561</v>
      </c>
      <c r="H389" s="41" t="str">
        <f t="shared" si="237"/>
        <v/>
      </c>
      <c r="I389" t="s">
        <v>465</v>
      </c>
      <c r="J389">
        <v>387</v>
      </c>
      <c r="K389" s="24" t="s">
        <v>430</v>
      </c>
      <c r="L389" s="23">
        <f t="shared" ref="L389:L422" si="277">IF(N389&lt;=0,0,L388)</f>
        <v>105974</v>
      </c>
      <c r="M389" s="23">
        <f t="shared" si="275"/>
        <v>104041</v>
      </c>
      <c r="N389" s="23">
        <f t="shared" si="227"/>
        <v>1933</v>
      </c>
      <c r="O389" s="23">
        <f t="shared" ref="O389:O422" si="278">IF(L389&lt;=0,0,(O388-M389))</f>
        <v>3465385</v>
      </c>
    </row>
    <row r="390" spans="1:15" ht="18.600000000000001" thickBot="1" x14ac:dyDescent="0.5">
      <c r="A390" s="86"/>
      <c r="B390" s="7"/>
      <c r="C390" s="127" t="s">
        <v>12</v>
      </c>
      <c r="D390" s="128"/>
      <c r="E390" s="19">
        <f t="shared" ref="E390" si="279">_xlfn.SWITCH(H380,1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1932.0038999999999</v>
      </c>
      <c r="F390" s="3"/>
      <c r="G390" s="32"/>
      <c r="J390">
        <v>388</v>
      </c>
      <c r="K390" s="24" t="s">
        <v>431</v>
      </c>
      <c r="L390" s="23">
        <f t="shared" si="277"/>
        <v>105974</v>
      </c>
      <c r="M390" s="23">
        <f t="shared" si="275"/>
        <v>104097</v>
      </c>
      <c r="N390" s="23">
        <f t="shared" ref="N390:N422" si="280">IF(O389&lt;=0,0,INT(O389*($H$4/100)/12))</f>
        <v>1877</v>
      </c>
      <c r="O390" s="23">
        <f t="shared" si="278"/>
        <v>3361288</v>
      </c>
    </row>
    <row r="391" spans="1:15" ht="18.600000000000001" thickBot="1" x14ac:dyDescent="0.5">
      <c r="A391" s="86"/>
      <c r="B391" s="8"/>
      <c r="C391" s="127" t="s">
        <v>13</v>
      </c>
      <c r="D391" s="128"/>
      <c r="E391" s="19">
        <f t="shared" ref="E391" si="281">IF(H389="",H385*0.05,H389)</f>
        <v>125.36999999999995</v>
      </c>
      <c r="F391" s="3"/>
      <c r="G391" s="30"/>
      <c r="J391">
        <v>389</v>
      </c>
      <c r="K391" s="24" t="s">
        <v>432</v>
      </c>
      <c r="L391" s="23">
        <f t="shared" si="277"/>
        <v>105974</v>
      </c>
      <c r="M391" s="23">
        <f t="shared" si="275"/>
        <v>104154</v>
      </c>
      <c r="N391" s="23">
        <f t="shared" si="280"/>
        <v>1820</v>
      </c>
      <c r="O391" s="23">
        <f t="shared" si="278"/>
        <v>3257134</v>
      </c>
    </row>
    <row r="392" spans="1:15" ht="18.600000000000001" thickBot="1" x14ac:dyDescent="0.5">
      <c r="A392" s="86"/>
      <c r="B392" s="132" t="s">
        <v>14</v>
      </c>
      <c r="C392" s="126"/>
      <c r="D392" s="126"/>
      <c r="E392" s="19">
        <f t="shared" ref="E392" si="282">SUM(E390:E391)</f>
        <v>2057.3739</v>
      </c>
      <c r="F392" s="3"/>
      <c r="G392" s="30"/>
      <c r="J392">
        <v>390</v>
      </c>
      <c r="K392" s="24" t="s">
        <v>433</v>
      </c>
      <c r="L392" s="23">
        <f t="shared" si="277"/>
        <v>105974</v>
      </c>
      <c r="M392" s="23">
        <f t="shared" si="275"/>
        <v>104210</v>
      </c>
      <c r="N392" s="23">
        <f t="shared" si="280"/>
        <v>1764</v>
      </c>
      <c r="O392" s="23">
        <f t="shared" si="278"/>
        <v>3152924</v>
      </c>
    </row>
    <row r="393" spans="1:15" ht="18.600000000000001" thickBot="1" x14ac:dyDescent="0.5">
      <c r="A393" s="97" t="s">
        <v>15</v>
      </c>
      <c r="B393" s="98"/>
      <c r="C393" s="98"/>
      <c r="D393" s="99"/>
      <c r="E393" s="20">
        <f t="shared" ref="E393" si="283">E384+E389+E392</f>
        <v>4701.6398248000005</v>
      </c>
      <c r="F393" s="3"/>
      <c r="G393" s="30"/>
      <c r="J393">
        <v>391</v>
      </c>
      <c r="K393" s="24" t="s">
        <v>434</v>
      </c>
      <c r="L393" s="23">
        <f t="shared" si="277"/>
        <v>105974</v>
      </c>
      <c r="M393" s="23">
        <f t="shared" si="275"/>
        <v>104267</v>
      </c>
      <c r="N393" s="23">
        <f t="shared" si="280"/>
        <v>1707</v>
      </c>
      <c r="O393" s="23">
        <f t="shared" si="278"/>
        <v>3048657</v>
      </c>
    </row>
    <row r="394" spans="1:15" ht="18.600000000000001" thickBot="1" x14ac:dyDescent="0.5">
      <c r="A394" s="6"/>
      <c r="B394" s="126" t="s">
        <v>16</v>
      </c>
      <c r="C394" s="126"/>
      <c r="D394" s="126"/>
      <c r="E394" s="19">
        <f t="shared" ref="E394" si="284">H385</f>
        <v>2507.3999999999987</v>
      </c>
      <c r="F394" s="3"/>
      <c r="J394">
        <v>392</v>
      </c>
      <c r="K394" s="24" t="s">
        <v>435</v>
      </c>
      <c r="L394" s="23">
        <f t="shared" si="277"/>
        <v>105974</v>
      </c>
      <c r="M394" s="23">
        <f t="shared" si="275"/>
        <v>104323</v>
      </c>
      <c r="N394" s="23">
        <f t="shared" si="280"/>
        <v>1651</v>
      </c>
      <c r="O394" s="23">
        <f t="shared" si="278"/>
        <v>2944334</v>
      </c>
    </row>
    <row r="395" spans="1:15" ht="18.600000000000001" thickBot="1" x14ac:dyDescent="0.5">
      <c r="A395" s="97" t="s">
        <v>17</v>
      </c>
      <c r="B395" s="98"/>
      <c r="C395" s="98"/>
      <c r="D395" s="99"/>
      <c r="E395" s="20">
        <f t="shared" ref="E395" si="285">E394</f>
        <v>2507.3999999999987</v>
      </c>
      <c r="F395" s="3"/>
      <c r="J395">
        <v>393</v>
      </c>
      <c r="K395" s="24" t="s">
        <v>436</v>
      </c>
      <c r="L395" s="23">
        <f t="shared" si="277"/>
        <v>105974</v>
      </c>
      <c r="M395" s="23">
        <f t="shared" si="275"/>
        <v>104380</v>
      </c>
      <c r="N395" s="23">
        <f t="shared" si="280"/>
        <v>1594</v>
      </c>
      <c r="O395" s="23">
        <f t="shared" si="278"/>
        <v>2839954</v>
      </c>
    </row>
    <row r="396" spans="1:15" ht="18.600000000000001" thickBot="1" x14ac:dyDescent="0.5">
      <c r="A396" s="96" t="s">
        <v>18</v>
      </c>
      <c r="B396" s="96"/>
      <c r="C396" s="96"/>
      <c r="D396" s="96"/>
      <c r="E396" s="14">
        <f t="shared" ref="E396" si="286">12*H380</f>
        <v>228</v>
      </c>
      <c r="F396" s="3"/>
      <c r="J396">
        <v>394</v>
      </c>
      <c r="K396" s="24" t="s">
        <v>437</v>
      </c>
      <c r="L396" s="23">
        <f t="shared" si="277"/>
        <v>105974</v>
      </c>
      <c r="M396" s="23">
        <f t="shared" si="275"/>
        <v>104436</v>
      </c>
      <c r="N396" s="23">
        <f t="shared" si="280"/>
        <v>1538</v>
      </c>
      <c r="O396" s="23">
        <f t="shared" si="278"/>
        <v>2735518</v>
      </c>
    </row>
    <row r="397" spans="1:15" ht="18.600000000000001" thickBot="1" x14ac:dyDescent="0.5">
      <c r="A397" s="3"/>
      <c r="B397" s="3"/>
      <c r="C397" s="3"/>
      <c r="D397" s="3"/>
      <c r="E397" s="3"/>
      <c r="F397" s="3"/>
      <c r="J397">
        <v>395</v>
      </c>
      <c r="K397" s="24" t="s">
        <v>438</v>
      </c>
      <c r="L397" s="23">
        <f t="shared" si="277"/>
        <v>105974</v>
      </c>
      <c r="M397" s="23">
        <f t="shared" si="275"/>
        <v>104493</v>
      </c>
      <c r="N397" s="23">
        <f t="shared" si="280"/>
        <v>1481</v>
      </c>
      <c r="O397" s="23">
        <f t="shared" si="278"/>
        <v>2631025</v>
      </c>
    </row>
    <row r="398" spans="1:15" ht="18.600000000000001" thickBot="1" x14ac:dyDescent="0.5">
      <c r="A398" s="12" t="s">
        <v>19</v>
      </c>
      <c r="B398" s="12"/>
      <c r="C398" s="12"/>
      <c r="D398" s="12"/>
      <c r="E398" s="15">
        <f t="shared" ref="E398" si="287">-((E395-E393)/E396)</f>
        <v>9.6238588807017624</v>
      </c>
      <c r="F398" s="3" t="s">
        <v>20</v>
      </c>
      <c r="J398">
        <v>396</v>
      </c>
      <c r="K398" s="24" t="s">
        <v>439</v>
      </c>
      <c r="L398" s="23">
        <f t="shared" si="277"/>
        <v>105974</v>
      </c>
      <c r="M398" s="23">
        <f t="shared" si="275"/>
        <v>104549</v>
      </c>
      <c r="N398" s="23">
        <f t="shared" si="280"/>
        <v>1425</v>
      </c>
      <c r="O398" s="23">
        <f t="shared" si="278"/>
        <v>2526476</v>
      </c>
    </row>
    <row r="399" spans="1:15" x14ac:dyDescent="0.45">
      <c r="A399" s="3"/>
      <c r="B399" s="3"/>
      <c r="C399" s="3"/>
      <c r="D399" s="3"/>
      <c r="E399" s="3"/>
      <c r="F399" s="3"/>
      <c r="J399">
        <v>397</v>
      </c>
      <c r="K399" s="24" t="s">
        <v>440</v>
      </c>
      <c r="L399" s="23">
        <f t="shared" si="277"/>
        <v>105974</v>
      </c>
      <c r="M399" s="23">
        <f t="shared" si="275"/>
        <v>104606</v>
      </c>
      <c r="N399" s="23">
        <f t="shared" si="280"/>
        <v>1368</v>
      </c>
      <c r="O399" s="23">
        <f t="shared" si="278"/>
        <v>2421870</v>
      </c>
    </row>
    <row r="400" spans="1:15" ht="18.600000000000001" thickBot="1" x14ac:dyDescent="0.5">
      <c r="A400" s="3"/>
      <c r="B400" s="3"/>
      <c r="D400" s="3"/>
      <c r="E400" s="3"/>
      <c r="F400" s="3"/>
      <c r="J400">
        <v>398</v>
      </c>
      <c r="K400" s="24" t="s">
        <v>441</v>
      </c>
      <c r="L400" s="23">
        <f t="shared" si="277"/>
        <v>105974</v>
      </c>
      <c r="M400" s="23">
        <f t="shared" si="275"/>
        <v>104663</v>
      </c>
      <c r="N400" s="23">
        <f t="shared" si="280"/>
        <v>1311</v>
      </c>
      <c r="O400" s="23">
        <f t="shared" si="278"/>
        <v>2317207</v>
      </c>
    </row>
    <row r="401" spans="1:15" ht="18.600000000000001" thickBot="1" x14ac:dyDescent="0.5">
      <c r="A401" s="10" t="s">
        <v>4</v>
      </c>
      <c r="B401" s="3"/>
      <c r="C401" s="3"/>
      <c r="D401" s="3"/>
      <c r="E401" s="4" t="s">
        <v>1</v>
      </c>
      <c r="F401" s="4"/>
      <c r="G401" s="38" t="s">
        <v>508</v>
      </c>
      <c r="H401" s="42">
        <f t="shared" ref="H401" si="288">H380+1</f>
        <v>20</v>
      </c>
      <c r="I401" t="s">
        <v>509</v>
      </c>
      <c r="J401">
        <v>399</v>
      </c>
      <c r="K401" s="24" t="s">
        <v>442</v>
      </c>
      <c r="L401" s="23">
        <f t="shared" si="277"/>
        <v>105974</v>
      </c>
      <c r="M401" s="23">
        <f t="shared" si="275"/>
        <v>104719</v>
      </c>
      <c r="N401" s="23">
        <f t="shared" si="280"/>
        <v>1255</v>
      </c>
      <c r="O401" s="23">
        <f t="shared" si="278"/>
        <v>2212488</v>
      </c>
    </row>
    <row r="402" spans="1:15" ht="18.600000000000001" thickBot="1" x14ac:dyDescent="0.5">
      <c r="A402" s="133" t="s">
        <v>5</v>
      </c>
      <c r="B402" s="133"/>
      <c r="C402" s="133"/>
      <c r="D402" s="133"/>
      <c r="E402" s="11" t="s">
        <v>0</v>
      </c>
      <c r="F402" s="3"/>
      <c r="G402" s="36" t="s">
        <v>464</v>
      </c>
      <c r="H402" s="37">
        <f t="shared" ref="H402:H452" si="289">H381</f>
        <v>3980</v>
      </c>
      <c r="I402" t="s">
        <v>465</v>
      </c>
      <c r="J402">
        <v>400</v>
      </c>
      <c r="K402" s="24" t="s">
        <v>443</v>
      </c>
      <c r="L402" s="23">
        <f t="shared" si="277"/>
        <v>105974</v>
      </c>
      <c r="M402" s="23">
        <f t="shared" si="275"/>
        <v>104776</v>
      </c>
      <c r="N402" s="23">
        <f t="shared" si="280"/>
        <v>1198</v>
      </c>
      <c r="O402" s="23">
        <f t="shared" si="278"/>
        <v>2107712</v>
      </c>
    </row>
    <row r="403" spans="1:15" ht="18.600000000000001" thickBot="1" x14ac:dyDescent="0.5">
      <c r="A403" s="85"/>
      <c r="B403" s="87"/>
      <c r="C403" s="127" t="s">
        <v>3</v>
      </c>
      <c r="D403" s="128"/>
      <c r="E403" s="29">
        <f t="shared" ref="E403" si="290">IF(H405="",0,H405)</f>
        <v>0</v>
      </c>
      <c r="F403" s="3"/>
      <c r="G403" s="25" t="s">
        <v>466</v>
      </c>
      <c r="H403" s="43">
        <f t="shared" si="289"/>
        <v>0.65</v>
      </c>
      <c r="I403" t="s">
        <v>469</v>
      </c>
      <c r="J403">
        <v>401</v>
      </c>
      <c r="K403" s="24" t="s">
        <v>444</v>
      </c>
      <c r="L403" s="23">
        <f t="shared" si="277"/>
        <v>105974</v>
      </c>
      <c r="M403" s="23">
        <f t="shared" si="275"/>
        <v>104833</v>
      </c>
      <c r="N403" s="23">
        <f t="shared" si="280"/>
        <v>1141</v>
      </c>
      <c r="O403" s="23">
        <f t="shared" si="278"/>
        <v>2002879</v>
      </c>
    </row>
    <row r="404" spans="1:15" ht="18.600000000000001" thickBot="1" x14ac:dyDescent="0.5">
      <c r="A404" s="86"/>
      <c r="B404" s="88"/>
      <c r="C404" s="127" t="s">
        <v>6</v>
      </c>
      <c r="D404" s="128"/>
      <c r="E404" s="19">
        <f>IF(H408="",$H$7*0.06,H408)</f>
        <v>238.79999999999998</v>
      </c>
      <c r="F404" s="3"/>
      <c r="G404" s="25" t="s">
        <v>467</v>
      </c>
      <c r="H404" s="37">
        <f t="shared" si="289"/>
        <v>35</v>
      </c>
      <c r="I404" t="s">
        <v>468</v>
      </c>
      <c r="J404">
        <v>402</v>
      </c>
      <c r="K404" s="24" t="s">
        <v>445</v>
      </c>
      <c r="L404" s="23">
        <f t="shared" si="277"/>
        <v>105974</v>
      </c>
      <c r="M404" s="23">
        <f t="shared" si="275"/>
        <v>104890</v>
      </c>
      <c r="N404" s="23">
        <f t="shared" si="280"/>
        <v>1084</v>
      </c>
      <c r="O404" s="23">
        <f t="shared" si="278"/>
        <v>1897989</v>
      </c>
    </row>
    <row r="405" spans="1:15" ht="18.600000000000001" thickBot="1" x14ac:dyDescent="0.5">
      <c r="A405" s="86"/>
      <c r="B405" s="91" t="s">
        <v>7</v>
      </c>
      <c r="C405" s="92"/>
      <c r="D405" s="92"/>
      <c r="E405" s="19">
        <f t="shared" ref="E405" si="291">SUM(E403:E404)</f>
        <v>238.79999999999998</v>
      </c>
      <c r="F405" s="3"/>
      <c r="G405" s="28" t="s">
        <v>3</v>
      </c>
      <c r="H405" s="37">
        <f t="shared" si="289"/>
        <v>0</v>
      </c>
      <c r="I405" t="s">
        <v>465</v>
      </c>
      <c r="J405">
        <v>403</v>
      </c>
      <c r="K405" s="24" t="s">
        <v>446</v>
      </c>
      <c r="L405" s="23">
        <f t="shared" si="277"/>
        <v>105974</v>
      </c>
      <c r="M405" s="23">
        <f t="shared" si="275"/>
        <v>104946</v>
      </c>
      <c r="N405" s="23">
        <f t="shared" si="280"/>
        <v>1028</v>
      </c>
      <c r="O405" s="23">
        <f t="shared" si="278"/>
        <v>1793043</v>
      </c>
    </row>
    <row r="406" spans="1:15" ht="18.600000000000001" thickBot="1" x14ac:dyDescent="0.5">
      <c r="A406" s="86"/>
      <c r="B406" s="7"/>
      <c r="C406" s="5" t="s">
        <v>8</v>
      </c>
      <c r="D406" s="5"/>
      <c r="E406" s="49">
        <f>_xlfn.SWITCH(H401,1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2543.3760000000002</v>
      </c>
      <c r="F406" s="3"/>
      <c r="G406" s="28" t="s">
        <v>16</v>
      </c>
      <c r="H406" s="37">
        <f>真実の家賃!$I$8*AD22</f>
        <v>2507.4</v>
      </c>
      <c r="I406" t="s">
        <v>465</v>
      </c>
      <c r="J406">
        <v>404</v>
      </c>
      <c r="K406" s="24" t="s">
        <v>447</v>
      </c>
      <c r="L406" s="23">
        <f t="shared" si="277"/>
        <v>105974</v>
      </c>
      <c r="M406" s="23">
        <f t="shared" si="275"/>
        <v>105003</v>
      </c>
      <c r="N406" s="23">
        <f t="shared" si="280"/>
        <v>971</v>
      </c>
      <c r="O406" s="23">
        <f t="shared" si="278"/>
        <v>1688040</v>
      </c>
    </row>
    <row r="407" spans="1:15" ht="18.600000000000001" thickBot="1" x14ac:dyDescent="0.5">
      <c r="A407" s="86"/>
      <c r="B407" s="8"/>
      <c r="C407" s="127" t="s">
        <v>2</v>
      </c>
      <c r="D407" s="128"/>
      <c r="E407" s="19">
        <f t="shared" ref="E407" si="292">IF(H409="",H401*15,H409)</f>
        <v>300</v>
      </c>
      <c r="F407" s="3"/>
      <c r="G407" s="56" t="s">
        <v>573</v>
      </c>
      <c r="H407" s="40" t="str">
        <f t="shared" si="289"/>
        <v/>
      </c>
      <c r="I407" t="s">
        <v>465</v>
      </c>
      <c r="J407">
        <v>405</v>
      </c>
      <c r="K407" s="24" t="s">
        <v>448</v>
      </c>
      <c r="L407" s="23">
        <f t="shared" si="277"/>
        <v>105974</v>
      </c>
      <c r="M407" s="23">
        <f t="shared" si="275"/>
        <v>105060</v>
      </c>
      <c r="N407" s="23">
        <f t="shared" si="280"/>
        <v>914</v>
      </c>
      <c r="O407" s="23">
        <f t="shared" si="278"/>
        <v>1582980</v>
      </c>
    </row>
    <row r="408" spans="1:15" ht="18.600000000000001" thickBot="1" x14ac:dyDescent="0.5">
      <c r="A408" s="86"/>
      <c r="B408" s="8"/>
      <c r="C408" s="129" t="s">
        <v>9</v>
      </c>
      <c r="D408" s="129"/>
      <c r="E408" s="19">
        <f t="shared" ref="E408" si="293">_xlfn.SWITCH(H401,1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408" s="3"/>
      <c r="G408" s="34" t="s">
        <v>6</v>
      </c>
      <c r="H408" s="40" t="str">
        <f t="shared" si="289"/>
        <v/>
      </c>
      <c r="I408" t="s">
        <v>465</v>
      </c>
      <c r="J408">
        <v>406</v>
      </c>
      <c r="K408" s="24" t="s">
        <v>449</v>
      </c>
      <c r="L408" s="23">
        <f t="shared" si="277"/>
        <v>105974</v>
      </c>
      <c r="M408" s="23">
        <f t="shared" si="275"/>
        <v>105117</v>
      </c>
      <c r="N408" s="23">
        <f t="shared" si="280"/>
        <v>857</v>
      </c>
      <c r="O408" s="23">
        <f t="shared" si="278"/>
        <v>1477863</v>
      </c>
    </row>
    <row r="409" spans="1:15" ht="18.600000000000001" thickBot="1" x14ac:dyDescent="0.5">
      <c r="A409" s="86"/>
      <c r="B409" s="8"/>
      <c r="C409" s="130" t="s">
        <v>10</v>
      </c>
      <c r="D409" s="131"/>
      <c r="E409" s="19">
        <f t="shared" ref="E409" si="294">IF(H407="",$AA$3,H401*H407)</f>
        <v>0</v>
      </c>
      <c r="F409" s="3"/>
      <c r="G409" s="28" t="s">
        <v>560</v>
      </c>
      <c r="H409" s="40" t="str">
        <f t="shared" si="289"/>
        <v/>
      </c>
      <c r="I409" t="s">
        <v>465</v>
      </c>
      <c r="J409">
        <v>407</v>
      </c>
      <c r="K409" s="24" t="s">
        <v>450</v>
      </c>
      <c r="L409" s="23">
        <f t="shared" si="277"/>
        <v>105974</v>
      </c>
      <c r="M409" s="23">
        <f t="shared" si="275"/>
        <v>105174</v>
      </c>
      <c r="N409" s="23">
        <f t="shared" si="280"/>
        <v>800</v>
      </c>
      <c r="O409" s="23">
        <f t="shared" si="278"/>
        <v>1372689</v>
      </c>
    </row>
    <row r="410" spans="1:15" ht="18.600000000000001" thickBot="1" x14ac:dyDescent="0.5">
      <c r="A410" s="86"/>
      <c r="B410" s="132" t="s">
        <v>11</v>
      </c>
      <c r="C410" s="126"/>
      <c r="D410" s="126"/>
      <c r="E410" s="19">
        <f t="shared" ref="E410" si="295">SUM(E406:E409)</f>
        <v>2547.6347248000002</v>
      </c>
      <c r="F410" s="3"/>
      <c r="G410" s="33" t="s">
        <v>561</v>
      </c>
      <c r="H410" s="41" t="str">
        <f t="shared" si="289"/>
        <v/>
      </c>
      <c r="I410" t="s">
        <v>465</v>
      </c>
      <c r="J410">
        <v>408</v>
      </c>
      <c r="K410" s="24" t="s">
        <v>451</v>
      </c>
      <c r="L410" s="23">
        <f t="shared" si="277"/>
        <v>105974</v>
      </c>
      <c r="M410" s="23">
        <f t="shared" si="275"/>
        <v>105231</v>
      </c>
      <c r="N410" s="23">
        <f t="shared" si="280"/>
        <v>743</v>
      </c>
      <c r="O410" s="23">
        <f t="shared" si="278"/>
        <v>1267458</v>
      </c>
    </row>
    <row r="411" spans="1:15" ht="18.600000000000001" thickBot="1" x14ac:dyDescent="0.5">
      <c r="A411" s="86"/>
      <c r="B411" s="7"/>
      <c r="C411" s="127" t="s">
        <v>12</v>
      </c>
      <c r="D411" s="128"/>
      <c r="E411" s="19">
        <f t="shared" ref="E411" si="296">_xlfn.SWITCH(H401,1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1817.0506</v>
      </c>
      <c r="F411" s="3"/>
      <c r="G411" s="32"/>
      <c r="J411">
        <v>409</v>
      </c>
      <c r="K411" s="24" t="s">
        <v>452</v>
      </c>
      <c r="L411" s="23">
        <f t="shared" si="277"/>
        <v>105974</v>
      </c>
      <c r="M411" s="23">
        <f t="shared" si="275"/>
        <v>105288</v>
      </c>
      <c r="N411" s="23">
        <f t="shared" si="280"/>
        <v>686</v>
      </c>
      <c r="O411" s="23">
        <f t="shared" si="278"/>
        <v>1162170</v>
      </c>
    </row>
    <row r="412" spans="1:15" ht="18.600000000000001" thickBot="1" x14ac:dyDescent="0.5">
      <c r="A412" s="86"/>
      <c r="B412" s="8"/>
      <c r="C412" s="127" t="s">
        <v>13</v>
      </c>
      <c r="D412" s="128"/>
      <c r="E412" s="19">
        <f t="shared" ref="E412" si="297">IF(H410="",H406*0.05,H410)</f>
        <v>125.37</v>
      </c>
      <c r="F412" s="3"/>
      <c r="G412" s="30"/>
      <c r="J412">
        <v>410</v>
      </c>
      <c r="K412" s="24" t="s">
        <v>453</v>
      </c>
      <c r="L412" s="23">
        <f t="shared" si="277"/>
        <v>105974</v>
      </c>
      <c r="M412" s="23">
        <f t="shared" si="275"/>
        <v>105345</v>
      </c>
      <c r="N412" s="23">
        <f t="shared" si="280"/>
        <v>629</v>
      </c>
      <c r="O412" s="23">
        <f t="shared" si="278"/>
        <v>1056825</v>
      </c>
    </row>
    <row r="413" spans="1:15" ht="18.600000000000001" thickBot="1" x14ac:dyDescent="0.5">
      <c r="A413" s="86"/>
      <c r="B413" s="132" t="s">
        <v>14</v>
      </c>
      <c r="C413" s="126"/>
      <c r="D413" s="126"/>
      <c r="E413" s="19">
        <f t="shared" ref="E413" si="298">SUM(E411:E412)</f>
        <v>1942.4205999999999</v>
      </c>
      <c r="F413" s="3"/>
      <c r="G413" s="30"/>
      <c r="J413">
        <v>411</v>
      </c>
      <c r="K413" s="24" t="s">
        <v>454</v>
      </c>
      <c r="L413" s="23">
        <f t="shared" si="277"/>
        <v>105974</v>
      </c>
      <c r="M413" s="23">
        <f t="shared" si="275"/>
        <v>105402</v>
      </c>
      <c r="N413" s="23">
        <f t="shared" si="280"/>
        <v>572</v>
      </c>
      <c r="O413" s="23">
        <f t="shared" si="278"/>
        <v>951423</v>
      </c>
    </row>
    <row r="414" spans="1:15" ht="18.600000000000001" thickBot="1" x14ac:dyDescent="0.5">
      <c r="A414" s="97" t="s">
        <v>15</v>
      </c>
      <c r="B414" s="98"/>
      <c r="C414" s="98"/>
      <c r="D414" s="99"/>
      <c r="E414" s="20">
        <f t="shared" ref="E414" si="299">E405+E410+E413</f>
        <v>4728.8553248000007</v>
      </c>
      <c r="F414" s="3"/>
      <c r="G414" s="30"/>
      <c r="J414">
        <v>412</v>
      </c>
      <c r="K414" s="24" t="s">
        <v>455</v>
      </c>
      <c r="L414" s="23">
        <f t="shared" si="277"/>
        <v>105974</v>
      </c>
      <c r="M414" s="23">
        <f t="shared" si="275"/>
        <v>105459</v>
      </c>
      <c r="N414" s="23">
        <f t="shared" si="280"/>
        <v>515</v>
      </c>
      <c r="O414" s="23">
        <f t="shared" si="278"/>
        <v>845964</v>
      </c>
    </row>
    <row r="415" spans="1:15" ht="18.600000000000001" thickBot="1" x14ac:dyDescent="0.5">
      <c r="A415" s="6"/>
      <c r="B415" s="126" t="s">
        <v>16</v>
      </c>
      <c r="C415" s="126"/>
      <c r="D415" s="126"/>
      <c r="E415" s="19">
        <f t="shared" ref="E415" si="300">H406</f>
        <v>2507.4</v>
      </c>
      <c r="F415" s="3"/>
      <c r="J415">
        <v>413</v>
      </c>
      <c r="K415" s="24" t="s">
        <v>456</v>
      </c>
      <c r="L415" s="23">
        <f t="shared" si="277"/>
        <v>105974</v>
      </c>
      <c r="M415" s="23">
        <f t="shared" si="275"/>
        <v>105516</v>
      </c>
      <c r="N415" s="23">
        <f t="shared" si="280"/>
        <v>458</v>
      </c>
      <c r="O415" s="23">
        <f t="shared" si="278"/>
        <v>740448</v>
      </c>
    </row>
    <row r="416" spans="1:15" ht="18.600000000000001" thickBot="1" x14ac:dyDescent="0.5">
      <c r="A416" s="97" t="s">
        <v>17</v>
      </c>
      <c r="B416" s="98"/>
      <c r="C416" s="98"/>
      <c r="D416" s="99"/>
      <c r="E416" s="20">
        <f t="shared" ref="E416" si="301">E415</f>
        <v>2507.4</v>
      </c>
      <c r="F416" s="3"/>
      <c r="J416">
        <v>414</v>
      </c>
      <c r="K416" s="24" t="s">
        <v>457</v>
      </c>
      <c r="L416" s="23">
        <f t="shared" si="277"/>
        <v>105974</v>
      </c>
      <c r="M416" s="23">
        <f t="shared" si="275"/>
        <v>105573</v>
      </c>
      <c r="N416" s="23">
        <f t="shared" si="280"/>
        <v>401</v>
      </c>
      <c r="O416" s="23">
        <f t="shared" si="278"/>
        <v>634875</v>
      </c>
    </row>
    <row r="417" spans="1:15" ht="18.600000000000001" thickBot="1" x14ac:dyDescent="0.5">
      <c r="A417" s="96" t="s">
        <v>18</v>
      </c>
      <c r="B417" s="96"/>
      <c r="C417" s="96"/>
      <c r="D417" s="96"/>
      <c r="E417" s="14">
        <f t="shared" ref="E417" si="302">12*H401</f>
        <v>240</v>
      </c>
      <c r="F417" s="3"/>
      <c r="J417">
        <v>415</v>
      </c>
      <c r="K417" s="24" t="s">
        <v>458</v>
      </c>
      <c r="L417" s="23">
        <f t="shared" si="277"/>
        <v>105974</v>
      </c>
      <c r="M417" s="23">
        <f t="shared" si="275"/>
        <v>105631</v>
      </c>
      <c r="N417" s="23">
        <f t="shared" si="280"/>
        <v>343</v>
      </c>
      <c r="O417" s="23">
        <f t="shared" si="278"/>
        <v>529244</v>
      </c>
    </row>
    <row r="418" spans="1:15" ht="18.600000000000001" thickBot="1" x14ac:dyDescent="0.5">
      <c r="A418" s="3"/>
      <c r="B418" s="3"/>
      <c r="C418" s="3"/>
      <c r="D418" s="3"/>
      <c r="E418" s="3"/>
      <c r="F418" s="3"/>
      <c r="J418">
        <v>416</v>
      </c>
      <c r="K418" s="24" t="s">
        <v>459</v>
      </c>
      <c r="L418" s="23">
        <f t="shared" si="277"/>
        <v>105974</v>
      </c>
      <c r="M418" s="23">
        <f t="shared" si="275"/>
        <v>105688</v>
      </c>
      <c r="N418" s="23">
        <f t="shared" si="280"/>
        <v>286</v>
      </c>
      <c r="O418" s="23">
        <f t="shared" si="278"/>
        <v>423556</v>
      </c>
    </row>
    <row r="419" spans="1:15" ht="18.600000000000001" thickBot="1" x14ac:dyDescent="0.5">
      <c r="A419" s="12" t="s">
        <v>19</v>
      </c>
      <c r="B419" s="12"/>
      <c r="C419" s="12"/>
      <c r="D419" s="12"/>
      <c r="E419" s="15">
        <f t="shared" ref="E419" si="303">-((E416-E414)/E417)</f>
        <v>9.2560638533333357</v>
      </c>
      <c r="F419" s="3" t="s">
        <v>20</v>
      </c>
      <c r="J419">
        <v>417</v>
      </c>
      <c r="K419" s="24" t="s">
        <v>460</v>
      </c>
      <c r="L419" s="23">
        <f t="shared" si="277"/>
        <v>105974</v>
      </c>
      <c r="M419" s="23">
        <f t="shared" si="275"/>
        <v>105745</v>
      </c>
      <c r="N419" s="23">
        <f t="shared" si="280"/>
        <v>229</v>
      </c>
      <c r="O419" s="23">
        <f t="shared" si="278"/>
        <v>317811</v>
      </c>
    </row>
    <row r="420" spans="1:15" x14ac:dyDescent="0.45">
      <c r="A420" s="3"/>
      <c r="B420" s="3"/>
      <c r="C420" s="3"/>
      <c r="D420" s="3"/>
      <c r="E420" s="3"/>
      <c r="F420" s="3"/>
      <c r="J420">
        <v>418</v>
      </c>
      <c r="K420" s="24" t="s">
        <v>461</v>
      </c>
      <c r="L420" s="23">
        <f t="shared" si="277"/>
        <v>105974</v>
      </c>
      <c r="M420" s="23">
        <f t="shared" si="275"/>
        <v>105802</v>
      </c>
      <c r="N420" s="23">
        <f t="shared" si="280"/>
        <v>172</v>
      </c>
      <c r="O420" s="23">
        <f t="shared" si="278"/>
        <v>212009</v>
      </c>
    </row>
    <row r="421" spans="1:15" ht="18.600000000000001" thickBot="1" x14ac:dyDescent="0.5">
      <c r="A421" s="3"/>
      <c r="B421" s="3"/>
      <c r="D421" s="3"/>
      <c r="E421" s="3"/>
      <c r="F421" s="3"/>
      <c r="J421">
        <v>419</v>
      </c>
      <c r="K421" s="24" t="s">
        <v>462</v>
      </c>
      <c r="L421" s="23">
        <f t="shared" si="277"/>
        <v>105974</v>
      </c>
      <c r="M421" s="23">
        <f t="shared" si="275"/>
        <v>105860</v>
      </c>
      <c r="N421" s="23">
        <f t="shared" si="280"/>
        <v>114</v>
      </c>
      <c r="O421" s="23">
        <f t="shared" si="278"/>
        <v>106149</v>
      </c>
    </row>
    <row r="422" spans="1:15" ht="18.600000000000001" thickBot="1" x14ac:dyDescent="0.5">
      <c r="A422" s="10" t="s">
        <v>4</v>
      </c>
      <c r="B422" s="3"/>
      <c r="C422" s="3"/>
      <c r="D422" s="3"/>
      <c r="E422" s="4" t="s">
        <v>1</v>
      </c>
      <c r="F422" s="4"/>
      <c r="G422" s="38" t="s">
        <v>508</v>
      </c>
      <c r="H422" s="42">
        <f t="shared" ref="H422" si="304">H401+1</f>
        <v>21</v>
      </c>
      <c r="I422" t="s">
        <v>509</v>
      </c>
      <c r="J422">
        <v>420</v>
      </c>
      <c r="K422" s="24" t="s">
        <v>463</v>
      </c>
      <c r="L422" s="23">
        <f t="shared" si="277"/>
        <v>105974</v>
      </c>
      <c r="M422" s="23">
        <f t="shared" si="275"/>
        <v>105917</v>
      </c>
      <c r="N422" s="23">
        <f t="shared" si="280"/>
        <v>57</v>
      </c>
      <c r="O422" s="23">
        <f t="shared" si="278"/>
        <v>232</v>
      </c>
    </row>
    <row r="423" spans="1:15" ht="18.600000000000001" thickBot="1" x14ac:dyDescent="0.5">
      <c r="A423" s="133" t="s">
        <v>5</v>
      </c>
      <c r="B423" s="133"/>
      <c r="C423" s="133"/>
      <c r="D423" s="133"/>
      <c r="E423" s="11" t="s">
        <v>0</v>
      </c>
      <c r="F423" s="3"/>
      <c r="G423" s="36" t="s">
        <v>464</v>
      </c>
      <c r="H423" s="37">
        <f t="shared" ref="H423:H473" si="305">H402</f>
        <v>3980</v>
      </c>
      <c r="I423" t="s">
        <v>465</v>
      </c>
      <c r="K423" s="21" t="s">
        <v>21</v>
      </c>
      <c r="L423" s="13">
        <f>SUM(L3:L422)</f>
        <v>44509080</v>
      </c>
      <c r="M423" s="13">
        <f>SUM(M3:M422)</f>
        <v>39799768</v>
      </c>
      <c r="N423" s="13">
        <f>SUM(N3:N422)</f>
        <v>4709312</v>
      </c>
      <c r="O423">
        <v>0</v>
      </c>
    </row>
    <row r="424" spans="1:15" ht="18.600000000000001" thickBot="1" x14ac:dyDescent="0.5">
      <c r="A424" s="85"/>
      <c r="B424" s="87"/>
      <c r="C424" s="127" t="s">
        <v>3</v>
      </c>
      <c r="D424" s="128"/>
      <c r="E424" s="29">
        <f t="shared" ref="E424" si="306">IF(H426="",0,H426)</f>
        <v>0</v>
      </c>
      <c r="F424" s="3"/>
      <c r="G424" s="25" t="s">
        <v>466</v>
      </c>
      <c r="H424" s="43">
        <f t="shared" si="305"/>
        <v>0.65</v>
      </c>
      <c r="I424" t="s">
        <v>469</v>
      </c>
    </row>
    <row r="425" spans="1:15" ht="18.600000000000001" thickBot="1" x14ac:dyDescent="0.5">
      <c r="A425" s="86"/>
      <c r="B425" s="88"/>
      <c r="C425" s="127" t="s">
        <v>6</v>
      </c>
      <c r="D425" s="128"/>
      <c r="E425" s="19">
        <f>IF(H429="",$H$7*0.06,H429)</f>
        <v>238.79999999999998</v>
      </c>
      <c r="F425" s="3"/>
      <c r="G425" s="25" t="s">
        <v>467</v>
      </c>
      <c r="H425" s="37">
        <f t="shared" si="305"/>
        <v>35</v>
      </c>
      <c r="I425" t="s">
        <v>468</v>
      </c>
    </row>
    <row r="426" spans="1:15" ht="18.600000000000001" thickBot="1" x14ac:dyDescent="0.5">
      <c r="A426" s="86"/>
      <c r="B426" s="91" t="s">
        <v>7</v>
      </c>
      <c r="C426" s="92"/>
      <c r="D426" s="92"/>
      <c r="E426" s="19">
        <f t="shared" ref="E426" si="307">SUM(E424:E425)</f>
        <v>238.79999999999998</v>
      </c>
      <c r="F426" s="3"/>
      <c r="G426" s="28" t="s">
        <v>3</v>
      </c>
      <c r="H426" s="37">
        <f t="shared" si="305"/>
        <v>0</v>
      </c>
      <c r="I426" t="s">
        <v>465</v>
      </c>
    </row>
    <row r="427" spans="1:15" ht="18.600000000000001" thickBot="1" x14ac:dyDescent="0.5">
      <c r="A427" s="86"/>
      <c r="B427" s="7"/>
      <c r="C427" s="5" t="s">
        <v>8</v>
      </c>
      <c r="D427" s="5"/>
      <c r="E427" s="49">
        <f>_xlfn.SWITCH(H422,1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2670.5448000000001</v>
      </c>
      <c r="F427" s="3"/>
      <c r="G427" s="28" t="s">
        <v>16</v>
      </c>
      <c r="H427" s="37">
        <f>真実の家賃!$I$8*AD23</f>
        <v>2507.4</v>
      </c>
      <c r="I427" t="s">
        <v>465</v>
      </c>
    </row>
    <row r="428" spans="1:15" ht="18.600000000000001" thickBot="1" x14ac:dyDescent="0.5">
      <c r="A428" s="86"/>
      <c r="B428" s="8"/>
      <c r="C428" s="127" t="s">
        <v>2</v>
      </c>
      <c r="D428" s="128"/>
      <c r="E428" s="19">
        <f t="shared" ref="E428" si="308">IF(H430="",H422*15,H430)</f>
        <v>315</v>
      </c>
      <c r="F428" s="3"/>
      <c r="G428" s="56" t="s">
        <v>573</v>
      </c>
      <c r="H428" s="40" t="str">
        <f t="shared" si="305"/>
        <v/>
      </c>
      <c r="I428" t="s">
        <v>465</v>
      </c>
    </row>
    <row r="429" spans="1:15" ht="18.600000000000001" thickBot="1" x14ac:dyDescent="0.5">
      <c r="A429" s="86"/>
      <c r="B429" s="8"/>
      <c r="C429" s="129" t="s">
        <v>9</v>
      </c>
      <c r="D429" s="129"/>
      <c r="E429" s="19">
        <f t="shared" ref="E429" si="309">_xlfn.SWITCH(H422,1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429" s="3"/>
      <c r="G429" s="34" t="s">
        <v>6</v>
      </c>
      <c r="H429" s="40" t="str">
        <f t="shared" si="305"/>
        <v/>
      </c>
      <c r="I429" t="s">
        <v>465</v>
      </c>
    </row>
    <row r="430" spans="1:15" ht="18.600000000000001" thickBot="1" x14ac:dyDescent="0.5">
      <c r="A430" s="86"/>
      <c r="B430" s="8"/>
      <c r="C430" s="130" t="s">
        <v>10</v>
      </c>
      <c r="D430" s="131"/>
      <c r="E430" s="19">
        <f t="shared" ref="E430" si="310">IF(H428="",$AA$3,H422*H428)</f>
        <v>0</v>
      </c>
      <c r="F430" s="3"/>
      <c r="G430" s="28" t="s">
        <v>560</v>
      </c>
      <c r="H430" s="40" t="str">
        <f t="shared" si="305"/>
        <v/>
      </c>
      <c r="I430" t="s">
        <v>465</v>
      </c>
    </row>
    <row r="431" spans="1:15" ht="18.600000000000001" thickBot="1" x14ac:dyDescent="0.5">
      <c r="A431" s="86"/>
      <c r="B431" s="132" t="s">
        <v>11</v>
      </c>
      <c r="C431" s="126"/>
      <c r="D431" s="126"/>
      <c r="E431" s="19">
        <f t="shared" ref="E431" si="311">SUM(E427:E430)</f>
        <v>2689.8035248000001</v>
      </c>
      <c r="F431" s="3"/>
      <c r="G431" s="33" t="s">
        <v>561</v>
      </c>
      <c r="H431" s="41" t="str">
        <f t="shared" si="305"/>
        <v/>
      </c>
      <c r="I431" t="s">
        <v>465</v>
      </c>
    </row>
    <row r="432" spans="1:15" ht="18.600000000000001" thickBot="1" x14ac:dyDescent="0.5">
      <c r="A432" s="86"/>
      <c r="B432" s="7"/>
      <c r="C432" s="127" t="s">
        <v>12</v>
      </c>
      <c r="D432" s="128"/>
      <c r="E432" s="19">
        <f t="shared" ref="E432" si="312">_xlfn.SWITCH(H422,1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1701.3478</v>
      </c>
      <c r="F432" s="3"/>
      <c r="G432" s="32"/>
    </row>
    <row r="433" spans="1:9" ht="18.600000000000001" thickBot="1" x14ac:dyDescent="0.5">
      <c r="A433" s="86"/>
      <c r="B433" s="8"/>
      <c r="C433" s="127" t="s">
        <v>13</v>
      </c>
      <c r="D433" s="128"/>
      <c r="E433" s="19">
        <f t="shared" ref="E433" si="313">IF(H431="",H427*0.05,H431)</f>
        <v>125.37</v>
      </c>
      <c r="F433" s="3"/>
      <c r="G433" s="30"/>
    </row>
    <row r="434" spans="1:9" ht="18.600000000000001" thickBot="1" x14ac:dyDescent="0.5">
      <c r="A434" s="86"/>
      <c r="B434" s="132" t="s">
        <v>14</v>
      </c>
      <c r="C434" s="126"/>
      <c r="D434" s="126"/>
      <c r="E434" s="19">
        <f t="shared" ref="E434" si="314">SUM(E432:E433)</f>
        <v>1826.7177999999999</v>
      </c>
      <c r="F434" s="3"/>
      <c r="G434" s="30"/>
    </row>
    <row r="435" spans="1:9" ht="18.600000000000001" thickBot="1" x14ac:dyDescent="0.5">
      <c r="A435" s="97" t="s">
        <v>15</v>
      </c>
      <c r="B435" s="98"/>
      <c r="C435" s="98"/>
      <c r="D435" s="99"/>
      <c r="E435" s="20">
        <f t="shared" ref="E435" si="315">E426+E431+E434</f>
        <v>4755.3213248000002</v>
      </c>
      <c r="F435" s="3"/>
      <c r="G435" s="30"/>
    </row>
    <row r="436" spans="1:9" ht="18.600000000000001" thickBot="1" x14ac:dyDescent="0.5">
      <c r="A436" s="6"/>
      <c r="B436" s="126" t="s">
        <v>16</v>
      </c>
      <c r="C436" s="126"/>
      <c r="D436" s="126"/>
      <c r="E436" s="19">
        <f t="shared" ref="E436" si="316">H427</f>
        <v>2507.4</v>
      </c>
      <c r="F436" s="3"/>
    </row>
    <row r="437" spans="1:9" ht="18.600000000000001" thickBot="1" x14ac:dyDescent="0.5">
      <c r="A437" s="97" t="s">
        <v>17</v>
      </c>
      <c r="B437" s="98"/>
      <c r="C437" s="98"/>
      <c r="D437" s="99"/>
      <c r="E437" s="20">
        <f t="shared" ref="E437" si="317">E436</f>
        <v>2507.4</v>
      </c>
      <c r="F437" s="3"/>
    </row>
    <row r="438" spans="1:9" ht="18.600000000000001" thickBot="1" x14ac:dyDescent="0.5">
      <c r="A438" s="96" t="s">
        <v>18</v>
      </c>
      <c r="B438" s="96"/>
      <c r="C438" s="96"/>
      <c r="D438" s="96"/>
      <c r="E438" s="14">
        <f t="shared" ref="E438" si="318">12*H422</f>
        <v>252</v>
      </c>
      <c r="F438" s="3"/>
    </row>
    <row r="439" spans="1:9" ht="18.600000000000001" thickBot="1" x14ac:dyDescent="0.5">
      <c r="A439" s="3"/>
      <c r="B439" s="3"/>
      <c r="C439" s="3"/>
      <c r="D439" s="3"/>
      <c r="E439" s="3"/>
      <c r="F439" s="3"/>
    </row>
    <row r="440" spans="1:9" ht="18.600000000000001" thickBot="1" x14ac:dyDescent="0.5">
      <c r="A440" s="12" t="s">
        <v>19</v>
      </c>
      <c r="B440" s="12"/>
      <c r="C440" s="12"/>
      <c r="D440" s="12"/>
      <c r="E440" s="15">
        <f t="shared" ref="E440" si="319">-((E437-E435)/E438)</f>
        <v>8.9203227174603175</v>
      </c>
      <c r="F440" s="3" t="s">
        <v>20</v>
      </c>
    </row>
    <row r="441" spans="1:9" x14ac:dyDescent="0.45">
      <c r="A441" s="3"/>
      <c r="B441" s="3"/>
      <c r="C441" s="3"/>
      <c r="D441" s="3"/>
      <c r="E441" s="3"/>
      <c r="F441" s="3"/>
    </row>
    <row r="442" spans="1:9" ht="18.600000000000001" thickBot="1" x14ac:dyDescent="0.5">
      <c r="A442" s="3"/>
      <c r="B442" s="3"/>
      <c r="D442" s="3"/>
      <c r="E442" s="3"/>
      <c r="F442" s="3"/>
    </row>
    <row r="443" spans="1:9" ht="18.600000000000001" thickBot="1" x14ac:dyDescent="0.5">
      <c r="A443" s="10" t="s">
        <v>4</v>
      </c>
      <c r="B443" s="3"/>
      <c r="C443" s="3"/>
      <c r="D443" s="3"/>
      <c r="E443" s="4" t="s">
        <v>1</v>
      </c>
      <c r="F443" s="4"/>
      <c r="G443" s="38" t="s">
        <v>508</v>
      </c>
      <c r="H443" s="42">
        <f t="shared" ref="H443" si="320">H422+1</f>
        <v>22</v>
      </c>
      <c r="I443" t="s">
        <v>509</v>
      </c>
    </row>
    <row r="444" spans="1:9" ht="18.600000000000001" thickBot="1" x14ac:dyDescent="0.5">
      <c r="A444" s="133" t="s">
        <v>5</v>
      </c>
      <c r="B444" s="133"/>
      <c r="C444" s="133"/>
      <c r="D444" s="133"/>
      <c r="E444" s="11" t="s">
        <v>0</v>
      </c>
      <c r="F444" s="3"/>
      <c r="G444" s="36" t="s">
        <v>464</v>
      </c>
      <c r="H444" s="37">
        <f t="shared" ref="H444:H449" si="321">H423</f>
        <v>3980</v>
      </c>
      <c r="I444" t="s">
        <v>465</v>
      </c>
    </row>
    <row r="445" spans="1:9" ht="18.600000000000001" thickBot="1" x14ac:dyDescent="0.5">
      <c r="A445" s="85"/>
      <c r="B445" s="87"/>
      <c r="C445" s="127" t="s">
        <v>3</v>
      </c>
      <c r="D445" s="128"/>
      <c r="E445" s="29">
        <f t="shared" ref="E445" si="322">IF(H447="",0,H447)</f>
        <v>0</v>
      </c>
      <c r="F445" s="3"/>
      <c r="G445" s="25" t="s">
        <v>466</v>
      </c>
      <c r="H445" s="43">
        <f t="shared" si="321"/>
        <v>0.65</v>
      </c>
      <c r="I445" t="s">
        <v>469</v>
      </c>
    </row>
    <row r="446" spans="1:9" ht="18.600000000000001" thickBot="1" x14ac:dyDescent="0.5">
      <c r="A446" s="86"/>
      <c r="B446" s="88"/>
      <c r="C446" s="127" t="s">
        <v>6</v>
      </c>
      <c r="D446" s="128"/>
      <c r="E446" s="19">
        <f>IF(H450="",$H$7*0.06,H450)</f>
        <v>238.79999999999998</v>
      </c>
      <c r="F446" s="3"/>
      <c r="G446" s="25" t="s">
        <v>467</v>
      </c>
      <c r="H446" s="37">
        <f t="shared" si="321"/>
        <v>35</v>
      </c>
      <c r="I446" t="s">
        <v>468</v>
      </c>
    </row>
    <row r="447" spans="1:9" ht="18.600000000000001" thickBot="1" x14ac:dyDescent="0.5">
      <c r="A447" s="86"/>
      <c r="B447" s="91" t="s">
        <v>7</v>
      </c>
      <c r="C447" s="92"/>
      <c r="D447" s="92"/>
      <c r="E447" s="19">
        <f t="shared" ref="E447" si="323">SUM(E445:E446)</f>
        <v>238.79999999999998</v>
      </c>
      <c r="F447" s="3"/>
      <c r="G447" s="28" t="s">
        <v>3</v>
      </c>
      <c r="H447" s="37">
        <f t="shared" si="321"/>
        <v>0</v>
      </c>
      <c r="I447" t="s">
        <v>465</v>
      </c>
    </row>
    <row r="448" spans="1:9" ht="18.600000000000001" thickBot="1" x14ac:dyDescent="0.5">
      <c r="A448" s="86"/>
      <c r="B448" s="7"/>
      <c r="C448" s="5" t="s">
        <v>8</v>
      </c>
      <c r="D448" s="5"/>
      <c r="E448" s="49">
        <f>_xlfn.SWITCH(H443,1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2797.7136</v>
      </c>
      <c r="F448" s="3"/>
      <c r="G448" s="28" t="s">
        <v>16</v>
      </c>
      <c r="H448" s="37">
        <f>真実の家賃!$I$8*AD24</f>
        <v>2507.4</v>
      </c>
      <c r="I448" t="s">
        <v>465</v>
      </c>
    </row>
    <row r="449" spans="1:9" ht="18.600000000000001" thickBot="1" x14ac:dyDescent="0.5">
      <c r="A449" s="86"/>
      <c r="B449" s="8"/>
      <c r="C449" s="127" t="s">
        <v>2</v>
      </c>
      <c r="D449" s="128"/>
      <c r="E449" s="19">
        <f t="shared" ref="E449" si="324">IF(H451="",H443*15,H451)</f>
        <v>330</v>
      </c>
      <c r="F449" s="3"/>
      <c r="G449" s="56" t="s">
        <v>573</v>
      </c>
      <c r="H449" s="40" t="str">
        <f t="shared" si="321"/>
        <v/>
      </c>
      <c r="I449" t="s">
        <v>465</v>
      </c>
    </row>
    <row r="450" spans="1:9" ht="18.600000000000001" thickBot="1" x14ac:dyDescent="0.5">
      <c r="A450" s="86"/>
      <c r="B450" s="8"/>
      <c r="C450" s="129" t="s">
        <v>9</v>
      </c>
      <c r="D450" s="129"/>
      <c r="E450" s="19">
        <f t="shared" ref="E450" si="325">_xlfn.SWITCH(H443,1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450" s="3"/>
      <c r="G450" s="34" t="s">
        <v>6</v>
      </c>
      <c r="H450" s="40" t="str">
        <f t="shared" si="289"/>
        <v/>
      </c>
      <c r="I450" t="s">
        <v>465</v>
      </c>
    </row>
    <row r="451" spans="1:9" ht="18.600000000000001" thickBot="1" x14ac:dyDescent="0.5">
      <c r="A451" s="86"/>
      <c r="B451" s="8"/>
      <c r="C451" s="130" t="s">
        <v>10</v>
      </c>
      <c r="D451" s="131"/>
      <c r="E451" s="19">
        <f t="shared" ref="E451" si="326">IF(H449="",$AA$3,H443*H449)</f>
        <v>0</v>
      </c>
      <c r="F451" s="3"/>
      <c r="G451" s="28" t="s">
        <v>560</v>
      </c>
      <c r="H451" s="40" t="str">
        <f t="shared" si="289"/>
        <v/>
      </c>
      <c r="I451" t="s">
        <v>465</v>
      </c>
    </row>
    <row r="452" spans="1:9" ht="18.600000000000001" thickBot="1" x14ac:dyDescent="0.5">
      <c r="A452" s="86"/>
      <c r="B452" s="132" t="s">
        <v>11</v>
      </c>
      <c r="C452" s="126"/>
      <c r="D452" s="126"/>
      <c r="E452" s="19">
        <f t="shared" ref="E452" si="327">SUM(E448:E451)</f>
        <v>2831.9723248</v>
      </c>
      <c r="F452" s="3"/>
      <c r="G452" s="33" t="s">
        <v>561</v>
      </c>
      <c r="H452" s="41" t="str">
        <f t="shared" si="289"/>
        <v/>
      </c>
      <c r="I452" t="s">
        <v>465</v>
      </c>
    </row>
    <row r="453" spans="1:9" ht="18.600000000000001" thickBot="1" x14ac:dyDescent="0.5">
      <c r="A453" s="86"/>
      <c r="B453" s="7"/>
      <c r="C453" s="127" t="s">
        <v>12</v>
      </c>
      <c r="D453" s="128"/>
      <c r="E453" s="19">
        <f t="shared" ref="E453" si="328">_xlfn.SWITCH(H443,1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1584.8905999999999</v>
      </c>
      <c r="F453" s="3"/>
      <c r="G453" s="32"/>
    </row>
    <row r="454" spans="1:9" ht="18.600000000000001" thickBot="1" x14ac:dyDescent="0.5">
      <c r="A454" s="86"/>
      <c r="B454" s="8"/>
      <c r="C454" s="127" t="s">
        <v>13</v>
      </c>
      <c r="D454" s="128"/>
      <c r="E454" s="19">
        <f t="shared" ref="E454" si="329">IF(H452="",H448*0.05,H452)</f>
        <v>125.37</v>
      </c>
      <c r="F454" s="3"/>
      <c r="G454" s="30"/>
    </row>
    <row r="455" spans="1:9" ht="18.600000000000001" thickBot="1" x14ac:dyDescent="0.5">
      <c r="A455" s="86"/>
      <c r="B455" s="132" t="s">
        <v>14</v>
      </c>
      <c r="C455" s="126"/>
      <c r="D455" s="126"/>
      <c r="E455" s="19">
        <f t="shared" ref="E455" si="330">SUM(E453:E454)</f>
        <v>1710.2606000000001</v>
      </c>
      <c r="F455" s="3"/>
      <c r="G455" s="30"/>
    </row>
    <row r="456" spans="1:9" ht="18.600000000000001" thickBot="1" x14ac:dyDescent="0.5">
      <c r="A456" s="97" t="s">
        <v>15</v>
      </c>
      <c r="B456" s="98"/>
      <c r="C456" s="98"/>
      <c r="D456" s="99"/>
      <c r="E456" s="20">
        <f t="shared" ref="E456" si="331">E447+E452+E455</f>
        <v>4781.0329247999998</v>
      </c>
      <c r="F456" s="3"/>
      <c r="G456" s="30"/>
    </row>
    <row r="457" spans="1:9" ht="18.600000000000001" thickBot="1" x14ac:dyDescent="0.5">
      <c r="A457" s="6"/>
      <c r="B457" s="126" t="s">
        <v>16</v>
      </c>
      <c r="C457" s="126"/>
      <c r="D457" s="126"/>
      <c r="E457" s="19">
        <f t="shared" ref="E457" si="332">H448</f>
        <v>2507.4</v>
      </c>
      <c r="F457" s="3"/>
    </row>
    <row r="458" spans="1:9" ht="18.600000000000001" thickBot="1" x14ac:dyDescent="0.5">
      <c r="A458" s="97" t="s">
        <v>17</v>
      </c>
      <c r="B458" s="98"/>
      <c r="C458" s="98"/>
      <c r="D458" s="99"/>
      <c r="E458" s="20">
        <f t="shared" ref="E458" si="333">E457</f>
        <v>2507.4</v>
      </c>
      <c r="F458" s="3"/>
    </row>
    <row r="459" spans="1:9" ht="18.600000000000001" thickBot="1" x14ac:dyDescent="0.5">
      <c r="A459" s="96" t="s">
        <v>18</v>
      </c>
      <c r="B459" s="96"/>
      <c r="C459" s="96"/>
      <c r="D459" s="96"/>
      <c r="E459" s="14">
        <f t="shared" ref="E459" si="334">12*H443</f>
        <v>264</v>
      </c>
      <c r="F459" s="3"/>
    </row>
    <row r="460" spans="1:9" ht="18.600000000000001" thickBot="1" x14ac:dyDescent="0.5">
      <c r="A460" s="3"/>
      <c r="B460" s="3"/>
      <c r="C460" s="3"/>
      <c r="D460" s="3"/>
      <c r="E460" s="3"/>
      <c r="F460" s="3"/>
    </row>
    <row r="461" spans="1:9" ht="18.600000000000001" thickBot="1" x14ac:dyDescent="0.5">
      <c r="A461" s="12" t="s">
        <v>19</v>
      </c>
      <c r="B461" s="12"/>
      <c r="C461" s="12"/>
      <c r="D461" s="12"/>
      <c r="E461" s="15">
        <f t="shared" ref="E461" si="335">-((E458-E456)/E459)</f>
        <v>8.6122459272727259</v>
      </c>
      <c r="F461" s="3" t="s">
        <v>20</v>
      </c>
    </row>
    <row r="462" spans="1:9" x14ac:dyDescent="0.45">
      <c r="A462" s="3"/>
      <c r="B462" s="3"/>
      <c r="C462" s="3"/>
      <c r="D462" s="3"/>
      <c r="E462" s="3"/>
      <c r="F462" s="3"/>
    </row>
    <row r="463" spans="1:9" ht="18.600000000000001" thickBot="1" x14ac:dyDescent="0.5">
      <c r="A463" s="3"/>
      <c r="B463" s="3"/>
      <c r="D463" s="3"/>
      <c r="E463" s="3"/>
      <c r="F463" s="3"/>
    </row>
    <row r="464" spans="1:9" ht="18.600000000000001" thickBot="1" x14ac:dyDescent="0.5">
      <c r="A464" s="10" t="s">
        <v>4</v>
      </c>
      <c r="B464" s="3"/>
      <c r="C464" s="3"/>
      <c r="D464" s="3"/>
      <c r="E464" s="4" t="s">
        <v>1</v>
      </c>
      <c r="F464" s="4"/>
      <c r="G464" s="38" t="s">
        <v>508</v>
      </c>
      <c r="H464" s="42">
        <f t="shared" ref="H464" si="336">H443+1</f>
        <v>23</v>
      </c>
      <c r="I464" t="s">
        <v>509</v>
      </c>
    </row>
    <row r="465" spans="1:9" ht="18.600000000000001" thickBot="1" x14ac:dyDescent="0.5">
      <c r="A465" s="133" t="s">
        <v>5</v>
      </c>
      <c r="B465" s="133"/>
      <c r="C465" s="133"/>
      <c r="D465" s="133"/>
      <c r="E465" s="11" t="s">
        <v>0</v>
      </c>
      <c r="F465" s="3"/>
      <c r="G465" s="36" t="s">
        <v>464</v>
      </c>
      <c r="H465" s="37">
        <f t="shared" ref="H465:H470" si="337">H444</f>
        <v>3980</v>
      </c>
      <c r="I465" t="s">
        <v>465</v>
      </c>
    </row>
    <row r="466" spans="1:9" ht="18.600000000000001" thickBot="1" x14ac:dyDescent="0.5">
      <c r="A466" s="85"/>
      <c r="B466" s="87"/>
      <c r="C466" s="127" t="s">
        <v>3</v>
      </c>
      <c r="D466" s="128"/>
      <c r="E466" s="29">
        <f t="shared" ref="E466" si="338">IF(H468="",0,H468)</f>
        <v>0</v>
      </c>
      <c r="F466" s="3"/>
      <c r="G466" s="25" t="s">
        <v>466</v>
      </c>
      <c r="H466" s="43">
        <f t="shared" si="337"/>
        <v>0.65</v>
      </c>
      <c r="I466" t="s">
        <v>469</v>
      </c>
    </row>
    <row r="467" spans="1:9" ht="18.600000000000001" thickBot="1" x14ac:dyDescent="0.5">
      <c r="A467" s="86"/>
      <c r="B467" s="88"/>
      <c r="C467" s="127" t="s">
        <v>6</v>
      </c>
      <c r="D467" s="128"/>
      <c r="E467" s="19">
        <f>IF(H471="",$H$7*0.06,H471)</f>
        <v>238.79999999999998</v>
      </c>
      <c r="F467" s="3"/>
      <c r="G467" s="25" t="s">
        <v>467</v>
      </c>
      <c r="H467" s="37">
        <f t="shared" si="337"/>
        <v>35</v>
      </c>
      <c r="I467" t="s">
        <v>468</v>
      </c>
    </row>
    <row r="468" spans="1:9" ht="18.600000000000001" thickBot="1" x14ac:dyDescent="0.5">
      <c r="A468" s="86"/>
      <c r="B468" s="91" t="s">
        <v>7</v>
      </c>
      <c r="C468" s="92"/>
      <c r="D468" s="92"/>
      <c r="E468" s="19">
        <f t="shared" ref="E468" si="339">SUM(E466:E467)</f>
        <v>238.79999999999998</v>
      </c>
      <c r="F468" s="3"/>
      <c r="G468" s="28" t="s">
        <v>3</v>
      </c>
      <c r="H468" s="37">
        <f t="shared" si="337"/>
        <v>0</v>
      </c>
      <c r="I468" t="s">
        <v>465</v>
      </c>
    </row>
    <row r="469" spans="1:9" ht="18.600000000000001" thickBot="1" x14ac:dyDescent="0.5">
      <c r="A469" s="86"/>
      <c r="B469" s="7"/>
      <c r="C469" s="5" t="s">
        <v>8</v>
      </c>
      <c r="D469" s="5"/>
      <c r="E469" s="49">
        <f>_xlfn.SWITCH(H464,1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2924.8824</v>
      </c>
      <c r="F469" s="3"/>
      <c r="G469" s="28" t="s">
        <v>16</v>
      </c>
      <c r="H469" s="37">
        <f>真実の家賃!$I$8*AD25</f>
        <v>2507.4</v>
      </c>
      <c r="I469" t="s">
        <v>465</v>
      </c>
    </row>
    <row r="470" spans="1:9" ht="18.600000000000001" thickBot="1" x14ac:dyDescent="0.5">
      <c r="A470" s="86"/>
      <c r="B470" s="8"/>
      <c r="C470" s="127" t="s">
        <v>2</v>
      </c>
      <c r="D470" s="128"/>
      <c r="E470" s="19">
        <f t="shared" ref="E470" si="340">IF(H472="",H464*15,H472)</f>
        <v>345</v>
      </c>
      <c r="F470" s="3"/>
      <c r="G470" s="56" t="s">
        <v>573</v>
      </c>
      <c r="H470" s="40" t="str">
        <f t="shared" si="337"/>
        <v/>
      </c>
      <c r="I470" t="s">
        <v>465</v>
      </c>
    </row>
    <row r="471" spans="1:9" ht="18.600000000000001" thickBot="1" x14ac:dyDescent="0.5">
      <c r="A471" s="86"/>
      <c r="B471" s="8"/>
      <c r="C471" s="129" t="s">
        <v>9</v>
      </c>
      <c r="D471" s="129"/>
      <c r="E471" s="19">
        <f t="shared" ref="E471" si="341">_xlfn.SWITCH(H464,1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471" s="3"/>
      <c r="G471" s="34" t="s">
        <v>6</v>
      </c>
      <c r="H471" s="40" t="str">
        <f t="shared" si="305"/>
        <v/>
      </c>
      <c r="I471" t="s">
        <v>465</v>
      </c>
    </row>
    <row r="472" spans="1:9" ht="18.600000000000001" thickBot="1" x14ac:dyDescent="0.5">
      <c r="A472" s="86"/>
      <c r="B472" s="8"/>
      <c r="C472" s="130" t="s">
        <v>10</v>
      </c>
      <c r="D472" s="131"/>
      <c r="E472" s="19">
        <f t="shared" ref="E472" si="342">IF(H470="",$AA$3,H464*H470)</f>
        <v>0</v>
      </c>
      <c r="F472" s="3"/>
      <c r="G472" s="28" t="s">
        <v>560</v>
      </c>
      <c r="H472" s="40" t="str">
        <f t="shared" si="305"/>
        <v/>
      </c>
      <c r="I472" t="s">
        <v>465</v>
      </c>
    </row>
    <row r="473" spans="1:9" ht="18.600000000000001" thickBot="1" x14ac:dyDescent="0.5">
      <c r="A473" s="86"/>
      <c r="B473" s="132" t="s">
        <v>11</v>
      </c>
      <c r="C473" s="126"/>
      <c r="D473" s="126"/>
      <c r="E473" s="19">
        <f t="shared" ref="E473" si="343">SUM(E469:E472)</f>
        <v>2974.1411247999999</v>
      </c>
      <c r="F473" s="3"/>
      <c r="G473" s="33" t="s">
        <v>561</v>
      </c>
      <c r="H473" s="41" t="str">
        <f t="shared" si="305"/>
        <v/>
      </c>
      <c r="I473" t="s">
        <v>465</v>
      </c>
    </row>
    <row r="474" spans="1:9" ht="18.600000000000001" thickBot="1" x14ac:dyDescent="0.5">
      <c r="A474" s="86"/>
      <c r="B474" s="7"/>
      <c r="C474" s="127" t="s">
        <v>12</v>
      </c>
      <c r="D474" s="128"/>
      <c r="E474" s="19">
        <f t="shared" ref="E474" si="344">_xlfn.SWITCH(H464,1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1467.6741999999999</v>
      </c>
      <c r="F474" s="3"/>
      <c r="G474" s="32"/>
    </row>
    <row r="475" spans="1:9" ht="18.600000000000001" thickBot="1" x14ac:dyDescent="0.5">
      <c r="A475" s="86"/>
      <c r="B475" s="8"/>
      <c r="C475" s="127" t="s">
        <v>13</v>
      </c>
      <c r="D475" s="128"/>
      <c r="E475" s="19">
        <f t="shared" ref="E475" si="345">IF(H473="",H469*0.05,H473)</f>
        <v>125.37</v>
      </c>
      <c r="F475" s="3"/>
      <c r="G475" s="30"/>
    </row>
    <row r="476" spans="1:9" ht="18.600000000000001" thickBot="1" x14ac:dyDescent="0.5">
      <c r="A476" s="86"/>
      <c r="B476" s="132" t="s">
        <v>14</v>
      </c>
      <c r="C476" s="126"/>
      <c r="D476" s="126"/>
      <c r="E476" s="19">
        <f t="shared" ref="E476" si="346">SUM(E474:E475)</f>
        <v>1593.0441999999998</v>
      </c>
      <c r="F476" s="3"/>
      <c r="G476" s="30"/>
    </row>
    <row r="477" spans="1:9" ht="18.600000000000001" thickBot="1" x14ac:dyDescent="0.5">
      <c r="A477" s="97" t="s">
        <v>15</v>
      </c>
      <c r="B477" s="98"/>
      <c r="C477" s="98"/>
      <c r="D477" s="99"/>
      <c r="E477" s="20">
        <f t="shared" ref="E477" si="347">E468+E473+E476</f>
        <v>4805.9853247999999</v>
      </c>
      <c r="F477" s="3"/>
      <c r="G477" s="30"/>
    </row>
    <row r="478" spans="1:9" ht="18.600000000000001" thickBot="1" x14ac:dyDescent="0.5">
      <c r="A478" s="6"/>
      <c r="B478" s="126" t="s">
        <v>16</v>
      </c>
      <c r="C478" s="126"/>
      <c r="D478" s="126"/>
      <c r="E478" s="19">
        <f t="shared" ref="E478" si="348">H469</f>
        <v>2507.4</v>
      </c>
      <c r="F478" s="3"/>
    </row>
    <row r="479" spans="1:9" ht="18.600000000000001" thickBot="1" x14ac:dyDescent="0.5">
      <c r="A479" s="97" t="s">
        <v>17</v>
      </c>
      <c r="B479" s="98"/>
      <c r="C479" s="98"/>
      <c r="D479" s="99"/>
      <c r="E479" s="20">
        <f t="shared" ref="E479" si="349">E478</f>
        <v>2507.4</v>
      </c>
      <c r="F479" s="3"/>
    </row>
    <row r="480" spans="1:9" ht="18.600000000000001" thickBot="1" x14ac:dyDescent="0.5">
      <c r="A480" s="96" t="s">
        <v>18</v>
      </c>
      <c r="B480" s="96"/>
      <c r="C480" s="96"/>
      <c r="D480" s="96"/>
      <c r="E480" s="14">
        <f t="shared" ref="E480" si="350">12*H464</f>
        <v>276</v>
      </c>
      <c r="F480" s="3"/>
    </row>
    <row r="481" spans="1:9" ht="18.600000000000001" thickBot="1" x14ac:dyDescent="0.5">
      <c r="A481" s="3"/>
      <c r="B481" s="3"/>
      <c r="C481" s="3"/>
      <c r="D481" s="3"/>
      <c r="E481" s="3"/>
      <c r="F481" s="3"/>
    </row>
    <row r="482" spans="1:9" ht="18.600000000000001" thickBot="1" x14ac:dyDescent="0.5">
      <c r="A482" s="12" t="s">
        <v>19</v>
      </c>
      <c r="B482" s="12"/>
      <c r="C482" s="12"/>
      <c r="D482" s="12"/>
      <c r="E482" s="15">
        <f t="shared" ref="E482" si="351">-((E479-E477)/E480)</f>
        <v>8.3282076985507238</v>
      </c>
      <c r="F482" s="3" t="s">
        <v>20</v>
      </c>
    </row>
    <row r="483" spans="1:9" x14ac:dyDescent="0.45">
      <c r="A483" s="3"/>
      <c r="B483" s="3"/>
      <c r="C483" s="3"/>
      <c r="D483" s="3"/>
      <c r="E483" s="3"/>
      <c r="F483" s="3"/>
    </row>
    <row r="484" spans="1:9" ht="18.600000000000001" thickBot="1" x14ac:dyDescent="0.5">
      <c r="A484" s="3"/>
      <c r="B484" s="3"/>
      <c r="D484" s="3"/>
      <c r="E484" s="3"/>
      <c r="F484" s="3"/>
    </row>
    <row r="485" spans="1:9" ht="18.600000000000001" thickBot="1" x14ac:dyDescent="0.5">
      <c r="A485" s="10" t="s">
        <v>4</v>
      </c>
      <c r="B485" s="3"/>
      <c r="C485" s="3"/>
      <c r="D485" s="3"/>
      <c r="E485" s="4" t="s">
        <v>1</v>
      </c>
      <c r="F485" s="4"/>
      <c r="G485" s="38" t="s">
        <v>508</v>
      </c>
      <c r="H485" s="42">
        <f t="shared" ref="H485" si="352">H464+1</f>
        <v>24</v>
      </c>
      <c r="I485" t="s">
        <v>509</v>
      </c>
    </row>
    <row r="486" spans="1:9" ht="18.600000000000001" thickBot="1" x14ac:dyDescent="0.5">
      <c r="A486" s="133" t="s">
        <v>5</v>
      </c>
      <c r="B486" s="133"/>
      <c r="C486" s="133"/>
      <c r="D486" s="133"/>
      <c r="E486" s="11" t="s">
        <v>0</v>
      </c>
      <c r="F486" s="3"/>
      <c r="G486" s="36" t="s">
        <v>464</v>
      </c>
      <c r="H486" s="37">
        <f t="shared" ref="H486:H536" si="353">H465</f>
        <v>3980</v>
      </c>
      <c r="I486" t="s">
        <v>465</v>
      </c>
    </row>
    <row r="487" spans="1:9" ht="18.600000000000001" thickBot="1" x14ac:dyDescent="0.5">
      <c r="A487" s="85"/>
      <c r="B487" s="87"/>
      <c r="C487" s="127" t="s">
        <v>3</v>
      </c>
      <c r="D487" s="128"/>
      <c r="E487" s="29">
        <f t="shared" ref="E487" si="354">IF(H489="",0,H489)</f>
        <v>0</v>
      </c>
      <c r="F487" s="3"/>
      <c r="G487" s="25" t="s">
        <v>466</v>
      </c>
      <c r="H487" s="43">
        <f t="shared" si="353"/>
        <v>0.65</v>
      </c>
      <c r="I487" t="s">
        <v>469</v>
      </c>
    </row>
    <row r="488" spans="1:9" ht="18.600000000000001" thickBot="1" x14ac:dyDescent="0.5">
      <c r="A488" s="86"/>
      <c r="B488" s="88"/>
      <c r="C488" s="127" t="s">
        <v>6</v>
      </c>
      <c r="D488" s="128"/>
      <c r="E488" s="19">
        <f>IF(H492="",$H$7*0.06,H492)</f>
        <v>238.79999999999998</v>
      </c>
      <c r="F488" s="3"/>
      <c r="G488" s="25" t="s">
        <v>467</v>
      </c>
      <c r="H488" s="37">
        <f t="shared" si="353"/>
        <v>35</v>
      </c>
      <c r="I488" t="s">
        <v>468</v>
      </c>
    </row>
    <row r="489" spans="1:9" ht="18.600000000000001" thickBot="1" x14ac:dyDescent="0.5">
      <c r="A489" s="86"/>
      <c r="B489" s="91" t="s">
        <v>7</v>
      </c>
      <c r="C489" s="92"/>
      <c r="D489" s="92"/>
      <c r="E489" s="19">
        <f t="shared" ref="E489" si="355">SUM(E487:E488)</f>
        <v>238.79999999999998</v>
      </c>
      <c r="F489" s="3"/>
      <c r="G489" s="28" t="s">
        <v>3</v>
      </c>
      <c r="H489" s="37">
        <f t="shared" si="353"/>
        <v>0</v>
      </c>
      <c r="I489" t="s">
        <v>465</v>
      </c>
    </row>
    <row r="490" spans="1:9" ht="18.600000000000001" thickBot="1" x14ac:dyDescent="0.5">
      <c r="A490" s="86"/>
      <c r="B490" s="7"/>
      <c r="C490" s="5" t="s">
        <v>8</v>
      </c>
      <c r="D490" s="5"/>
      <c r="E490" s="49">
        <f>_xlfn.SWITCH(H485,1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3052.0511999999999</v>
      </c>
      <c r="F490" s="3"/>
      <c r="G490" s="28" t="s">
        <v>16</v>
      </c>
      <c r="H490" s="37">
        <f>真実の家賃!$I$8*AD26</f>
        <v>2507.4</v>
      </c>
      <c r="I490" t="s">
        <v>465</v>
      </c>
    </row>
    <row r="491" spans="1:9" ht="18.600000000000001" thickBot="1" x14ac:dyDescent="0.5">
      <c r="A491" s="86"/>
      <c r="B491" s="8"/>
      <c r="C491" s="127" t="s">
        <v>2</v>
      </c>
      <c r="D491" s="128"/>
      <c r="E491" s="19">
        <f t="shared" ref="E491" si="356">IF(H493="",H485*15,H493)</f>
        <v>360</v>
      </c>
      <c r="F491" s="3"/>
      <c r="G491" s="56" t="s">
        <v>573</v>
      </c>
      <c r="H491" s="40" t="str">
        <f t="shared" si="353"/>
        <v/>
      </c>
      <c r="I491" t="s">
        <v>465</v>
      </c>
    </row>
    <row r="492" spans="1:9" ht="18.600000000000001" thickBot="1" x14ac:dyDescent="0.5">
      <c r="A492" s="86"/>
      <c r="B492" s="8"/>
      <c r="C492" s="129" t="s">
        <v>9</v>
      </c>
      <c r="D492" s="129"/>
      <c r="E492" s="19">
        <f t="shared" ref="E492" si="357">_xlfn.SWITCH(H485,1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492" s="3"/>
      <c r="G492" s="34" t="s">
        <v>6</v>
      </c>
      <c r="H492" s="40" t="str">
        <f t="shared" si="353"/>
        <v/>
      </c>
      <c r="I492" t="s">
        <v>465</v>
      </c>
    </row>
    <row r="493" spans="1:9" ht="18.600000000000001" thickBot="1" x14ac:dyDescent="0.5">
      <c r="A493" s="86"/>
      <c r="B493" s="8"/>
      <c r="C493" s="130" t="s">
        <v>10</v>
      </c>
      <c r="D493" s="131"/>
      <c r="E493" s="19">
        <f t="shared" ref="E493" si="358">IF(H491="",$AA$3,H485*H491)</f>
        <v>0</v>
      </c>
      <c r="F493" s="3"/>
      <c r="G493" s="28" t="s">
        <v>560</v>
      </c>
      <c r="H493" s="40" t="str">
        <f t="shared" si="353"/>
        <v/>
      </c>
      <c r="I493" t="s">
        <v>465</v>
      </c>
    </row>
    <row r="494" spans="1:9" ht="18.600000000000001" thickBot="1" x14ac:dyDescent="0.5">
      <c r="A494" s="86"/>
      <c r="B494" s="132" t="s">
        <v>11</v>
      </c>
      <c r="C494" s="126"/>
      <c r="D494" s="126"/>
      <c r="E494" s="19">
        <f t="shared" ref="E494" si="359">SUM(E490:E493)</f>
        <v>3116.3099247999999</v>
      </c>
      <c r="F494" s="3"/>
      <c r="G494" s="33" t="s">
        <v>561</v>
      </c>
      <c r="H494" s="41" t="str">
        <f t="shared" si="353"/>
        <v/>
      </c>
      <c r="I494" t="s">
        <v>465</v>
      </c>
    </row>
    <row r="495" spans="1:9" ht="18.600000000000001" thickBot="1" x14ac:dyDescent="0.5">
      <c r="A495" s="86"/>
      <c r="B495" s="7"/>
      <c r="C495" s="127" t="s">
        <v>12</v>
      </c>
      <c r="D495" s="128"/>
      <c r="E495" s="19">
        <f t="shared" ref="E495" si="360">_xlfn.SWITCH(H485,1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1349.6935000000001</v>
      </c>
      <c r="F495" s="3"/>
      <c r="G495" s="32"/>
    </row>
    <row r="496" spans="1:9" ht="18.600000000000001" thickBot="1" x14ac:dyDescent="0.5">
      <c r="A496" s="86"/>
      <c r="B496" s="8"/>
      <c r="C496" s="127" t="s">
        <v>13</v>
      </c>
      <c r="D496" s="128"/>
      <c r="E496" s="19">
        <f t="shared" ref="E496" si="361">IF(H494="",H490*0.05,H494)</f>
        <v>125.37</v>
      </c>
      <c r="F496" s="3"/>
      <c r="G496" s="30"/>
    </row>
    <row r="497" spans="1:9" ht="18.600000000000001" thickBot="1" x14ac:dyDescent="0.5">
      <c r="A497" s="86"/>
      <c r="B497" s="132" t="s">
        <v>14</v>
      </c>
      <c r="C497" s="126"/>
      <c r="D497" s="126"/>
      <c r="E497" s="19">
        <f t="shared" ref="E497" si="362">SUM(E495:E496)</f>
        <v>1475.0635000000002</v>
      </c>
      <c r="F497" s="3"/>
      <c r="G497" s="30"/>
    </row>
    <row r="498" spans="1:9" ht="18.600000000000001" thickBot="1" x14ac:dyDescent="0.5">
      <c r="A498" s="97" t="s">
        <v>15</v>
      </c>
      <c r="B498" s="98"/>
      <c r="C498" s="98"/>
      <c r="D498" s="99"/>
      <c r="E498" s="20">
        <f t="shared" ref="E498" si="363">E489+E494+E497</f>
        <v>4830.1734248000002</v>
      </c>
      <c r="F498" s="3"/>
      <c r="G498" s="30"/>
    </row>
    <row r="499" spans="1:9" ht="18.600000000000001" thickBot="1" x14ac:dyDescent="0.5">
      <c r="A499" s="6"/>
      <c r="B499" s="126" t="s">
        <v>16</v>
      </c>
      <c r="C499" s="126"/>
      <c r="D499" s="126"/>
      <c r="E499" s="19">
        <f t="shared" ref="E499" si="364">H490</f>
        <v>2507.4</v>
      </c>
      <c r="F499" s="3"/>
    </row>
    <row r="500" spans="1:9" ht="18.600000000000001" thickBot="1" x14ac:dyDescent="0.5">
      <c r="A500" s="97" t="s">
        <v>17</v>
      </c>
      <c r="B500" s="98"/>
      <c r="C500" s="98"/>
      <c r="D500" s="99"/>
      <c r="E500" s="20">
        <f t="shared" ref="E500" si="365">E499</f>
        <v>2507.4</v>
      </c>
      <c r="F500" s="3"/>
    </row>
    <row r="501" spans="1:9" ht="18.600000000000001" thickBot="1" x14ac:dyDescent="0.5">
      <c r="A501" s="96" t="s">
        <v>18</v>
      </c>
      <c r="B501" s="96"/>
      <c r="C501" s="96"/>
      <c r="D501" s="96"/>
      <c r="E501" s="14">
        <f t="shared" ref="E501" si="366">12*H485</f>
        <v>288</v>
      </c>
      <c r="F501" s="3"/>
    </row>
    <row r="502" spans="1:9" ht="18.600000000000001" thickBot="1" x14ac:dyDescent="0.5">
      <c r="A502" s="3"/>
      <c r="B502" s="3"/>
      <c r="C502" s="3"/>
      <c r="D502" s="3"/>
      <c r="E502" s="3"/>
      <c r="F502" s="3"/>
    </row>
    <row r="503" spans="1:9" ht="18.600000000000001" thickBot="1" x14ac:dyDescent="0.5">
      <c r="A503" s="12" t="s">
        <v>19</v>
      </c>
      <c r="B503" s="12"/>
      <c r="C503" s="12"/>
      <c r="D503" s="12"/>
      <c r="E503" s="15">
        <f t="shared" ref="E503" si="367">-((E500-E498)/E501)</f>
        <v>8.0651855027777781</v>
      </c>
      <c r="F503" s="3" t="s">
        <v>20</v>
      </c>
    </row>
    <row r="504" spans="1:9" x14ac:dyDescent="0.45">
      <c r="A504" s="3"/>
      <c r="B504" s="3"/>
      <c r="C504" s="3"/>
      <c r="D504" s="3"/>
      <c r="E504" s="3"/>
      <c r="F504" s="3"/>
    </row>
    <row r="505" spans="1:9" ht="18.600000000000001" thickBot="1" x14ac:dyDescent="0.5">
      <c r="A505" s="3"/>
      <c r="B505" s="3"/>
      <c r="D505" s="3"/>
      <c r="E505" s="3"/>
      <c r="F505" s="3"/>
    </row>
    <row r="506" spans="1:9" ht="18.600000000000001" thickBot="1" x14ac:dyDescent="0.5">
      <c r="A506" s="10" t="s">
        <v>4</v>
      </c>
      <c r="B506" s="3"/>
      <c r="C506" s="3"/>
      <c r="D506" s="3"/>
      <c r="E506" s="4" t="s">
        <v>1</v>
      </c>
      <c r="F506" s="4"/>
      <c r="G506" s="38" t="s">
        <v>508</v>
      </c>
      <c r="H506" s="42">
        <f t="shared" ref="H506" si="368">H485+1</f>
        <v>25</v>
      </c>
      <c r="I506" t="s">
        <v>509</v>
      </c>
    </row>
    <row r="507" spans="1:9" ht="18.600000000000001" thickBot="1" x14ac:dyDescent="0.5">
      <c r="A507" s="133" t="s">
        <v>5</v>
      </c>
      <c r="B507" s="133"/>
      <c r="C507" s="133"/>
      <c r="D507" s="133"/>
      <c r="E507" s="11" t="s">
        <v>0</v>
      </c>
      <c r="F507" s="3"/>
      <c r="G507" s="36" t="s">
        <v>464</v>
      </c>
      <c r="H507" s="37">
        <f t="shared" ref="H507:H557" si="369">H486</f>
        <v>3980</v>
      </c>
      <c r="I507" t="s">
        <v>465</v>
      </c>
    </row>
    <row r="508" spans="1:9" ht="18.600000000000001" thickBot="1" x14ac:dyDescent="0.5">
      <c r="A508" s="85"/>
      <c r="B508" s="87"/>
      <c r="C508" s="127" t="s">
        <v>3</v>
      </c>
      <c r="D508" s="128"/>
      <c r="E508" s="29">
        <f t="shared" ref="E508" si="370">IF(H510="",0,H510)</f>
        <v>0</v>
      </c>
      <c r="F508" s="3"/>
      <c r="G508" s="25" t="s">
        <v>466</v>
      </c>
      <c r="H508" s="43">
        <f t="shared" si="369"/>
        <v>0.65</v>
      </c>
      <c r="I508" t="s">
        <v>469</v>
      </c>
    </row>
    <row r="509" spans="1:9" ht="18.600000000000001" thickBot="1" x14ac:dyDescent="0.5">
      <c r="A509" s="86"/>
      <c r="B509" s="88"/>
      <c r="C509" s="127" t="s">
        <v>6</v>
      </c>
      <c r="D509" s="128"/>
      <c r="E509" s="19">
        <f>IF(H513="",$H$7*0.06,H513)</f>
        <v>238.79999999999998</v>
      </c>
      <c r="F509" s="3"/>
      <c r="G509" s="25" t="s">
        <v>467</v>
      </c>
      <c r="H509" s="37">
        <f t="shared" si="369"/>
        <v>35</v>
      </c>
      <c r="I509" t="s">
        <v>468</v>
      </c>
    </row>
    <row r="510" spans="1:9" ht="18.600000000000001" thickBot="1" x14ac:dyDescent="0.5">
      <c r="A510" s="86"/>
      <c r="B510" s="91" t="s">
        <v>7</v>
      </c>
      <c r="C510" s="92"/>
      <c r="D510" s="92"/>
      <c r="E510" s="19">
        <f t="shared" ref="E510" si="371">SUM(E508:E509)</f>
        <v>238.79999999999998</v>
      </c>
      <c r="F510" s="3"/>
      <c r="G510" s="28" t="s">
        <v>3</v>
      </c>
      <c r="H510" s="37">
        <f t="shared" si="369"/>
        <v>0</v>
      </c>
      <c r="I510" t="s">
        <v>465</v>
      </c>
    </row>
    <row r="511" spans="1:9" ht="18.600000000000001" thickBot="1" x14ac:dyDescent="0.5">
      <c r="A511" s="86"/>
      <c r="B511" s="7"/>
      <c r="C511" s="5" t="s">
        <v>8</v>
      </c>
      <c r="D511" s="5"/>
      <c r="E511" s="49">
        <f>_xlfn.SWITCH(H506,1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3179.22</v>
      </c>
      <c r="F511" s="3"/>
      <c r="G511" s="28" t="s">
        <v>16</v>
      </c>
      <c r="H511" s="37">
        <f>真実の家賃!$I$8*AD27</f>
        <v>2507.4</v>
      </c>
      <c r="I511" t="s">
        <v>465</v>
      </c>
    </row>
    <row r="512" spans="1:9" ht="18.600000000000001" thickBot="1" x14ac:dyDescent="0.5">
      <c r="A512" s="86"/>
      <c r="B512" s="8"/>
      <c r="C512" s="127" t="s">
        <v>2</v>
      </c>
      <c r="D512" s="128"/>
      <c r="E512" s="19">
        <f t="shared" ref="E512" si="372">IF(H514="",H506*15,H514)</f>
        <v>375</v>
      </c>
      <c r="F512" s="3"/>
      <c r="G512" s="56" t="s">
        <v>573</v>
      </c>
      <c r="H512" s="40" t="str">
        <f t="shared" si="369"/>
        <v/>
      </c>
      <c r="I512" t="s">
        <v>465</v>
      </c>
    </row>
    <row r="513" spans="1:9" ht="18.600000000000001" thickBot="1" x14ac:dyDescent="0.5">
      <c r="A513" s="86"/>
      <c r="B513" s="8"/>
      <c r="C513" s="129" t="s">
        <v>9</v>
      </c>
      <c r="D513" s="129"/>
      <c r="E513" s="19">
        <f t="shared" ref="E513" si="373">_xlfn.SWITCH(H506,1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513" s="3"/>
      <c r="G513" s="34" t="s">
        <v>6</v>
      </c>
      <c r="H513" s="40" t="str">
        <f t="shared" si="369"/>
        <v/>
      </c>
      <c r="I513" t="s">
        <v>465</v>
      </c>
    </row>
    <row r="514" spans="1:9" ht="18.600000000000001" thickBot="1" x14ac:dyDescent="0.5">
      <c r="A514" s="86"/>
      <c r="B514" s="8"/>
      <c r="C514" s="130" t="s">
        <v>10</v>
      </c>
      <c r="D514" s="131"/>
      <c r="E514" s="19">
        <f t="shared" ref="E514" si="374">IF(H512="",$AA$3,H506*H512)</f>
        <v>0</v>
      </c>
      <c r="F514" s="3"/>
      <c r="G514" s="28" t="s">
        <v>560</v>
      </c>
      <c r="H514" s="40" t="str">
        <f t="shared" si="369"/>
        <v/>
      </c>
      <c r="I514" t="s">
        <v>465</v>
      </c>
    </row>
    <row r="515" spans="1:9" ht="18.600000000000001" thickBot="1" x14ac:dyDescent="0.5">
      <c r="A515" s="86"/>
      <c r="B515" s="132" t="s">
        <v>11</v>
      </c>
      <c r="C515" s="126"/>
      <c r="D515" s="126"/>
      <c r="E515" s="19">
        <f t="shared" ref="E515" si="375">SUM(E511:E514)</f>
        <v>3258.4787247999998</v>
      </c>
      <c r="F515" s="3"/>
      <c r="G515" s="33" t="s">
        <v>561</v>
      </c>
      <c r="H515" s="41" t="str">
        <f t="shared" si="369"/>
        <v/>
      </c>
      <c r="I515" t="s">
        <v>465</v>
      </c>
    </row>
    <row r="516" spans="1:9" ht="18.600000000000001" thickBot="1" x14ac:dyDescent="0.5">
      <c r="A516" s="86"/>
      <c r="B516" s="7"/>
      <c r="C516" s="127" t="s">
        <v>12</v>
      </c>
      <c r="D516" s="128"/>
      <c r="E516" s="19">
        <f t="shared" ref="E516" si="376">_xlfn.SWITCH(H506,1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1230.9437</v>
      </c>
      <c r="F516" s="3"/>
      <c r="G516" s="32"/>
    </row>
    <row r="517" spans="1:9" ht="18.600000000000001" thickBot="1" x14ac:dyDescent="0.5">
      <c r="A517" s="86"/>
      <c r="B517" s="8"/>
      <c r="C517" s="127" t="s">
        <v>13</v>
      </c>
      <c r="D517" s="128"/>
      <c r="E517" s="19">
        <f t="shared" ref="E517" si="377">IF(H515="",H511*0.05,H515)</f>
        <v>125.37</v>
      </c>
      <c r="F517" s="3"/>
      <c r="G517" s="30"/>
    </row>
    <row r="518" spans="1:9" ht="18.600000000000001" thickBot="1" x14ac:dyDescent="0.5">
      <c r="A518" s="86"/>
      <c r="B518" s="132" t="s">
        <v>14</v>
      </c>
      <c r="C518" s="126"/>
      <c r="D518" s="126"/>
      <c r="E518" s="19">
        <f t="shared" ref="E518" si="378">SUM(E516:E517)</f>
        <v>1356.3137000000002</v>
      </c>
      <c r="F518" s="3"/>
      <c r="G518" s="30"/>
    </row>
    <row r="519" spans="1:9" ht="18.600000000000001" thickBot="1" x14ac:dyDescent="0.5">
      <c r="A519" s="97" t="s">
        <v>15</v>
      </c>
      <c r="B519" s="98"/>
      <c r="C519" s="98"/>
      <c r="D519" s="99"/>
      <c r="E519" s="20">
        <f t="shared" ref="E519" si="379">E510+E515+E518</f>
        <v>4853.5924248000001</v>
      </c>
      <c r="F519" s="3"/>
      <c r="G519" s="30"/>
    </row>
    <row r="520" spans="1:9" ht="18.600000000000001" thickBot="1" x14ac:dyDescent="0.5">
      <c r="A520" s="6"/>
      <c r="B520" s="126" t="s">
        <v>16</v>
      </c>
      <c r="C520" s="126"/>
      <c r="D520" s="126"/>
      <c r="E520" s="19">
        <f t="shared" ref="E520" si="380">H511</f>
        <v>2507.4</v>
      </c>
      <c r="F520" s="3"/>
    </row>
    <row r="521" spans="1:9" ht="18.600000000000001" thickBot="1" x14ac:dyDescent="0.5">
      <c r="A521" s="97" t="s">
        <v>17</v>
      </c>
      <c r="B521" s="98"/>
      <c r="C521" s="98"/>
      <c r="D521" s="99"/>
      <c r="E521" s="20">
        <f t="shared" ref="E521" si="381">E520</f>
        <v>2507.4</v>
      </c>
      <c r="F521" s="3"/>
    </row>
    <row r="522" spans="1:9" ht="18.600000000000001" thickBot="1" x14ac:dyDescent="0.5">
      <c r="A522" s="96" t="s">
        <v>18</v>
      </c>
      <c r="B522" s="96"/>
      <c r="C522" s="96"/>
      <c r="D522" s="96"/>
      <c r="E522" s="14">
        <f t="shared" ref="E522" si="382">12*H506</f>
        <v>300</v>
      </c>
      <c r="F522" s="3"/>
    </row>
    <row r="523" spans="1:9" ht="18.600000000000001" thickBot="1" x14ac:dyDescent="0.5">
      <c r="A523" s="3"/>
      <c r="B523" s="3"/>
      <c r="C523" s="3"/>
      <c r="D523" s="3"/>
      <c r="E523" s="3"/>
      <c r="F523" s="3"/>
    </row>
    <row r="524" spans="1:9" ht="18.600000000000001" thickBot="1" x14ac:dyDescent="0.5">
      <c r="A524" s="12" t="s">
        <v>19</v>
      </c>
      <c r="B524" s="12"/>
      <c r="C524" s="12"/>
      <c r="D524" s="12"/>
      <c r="E524" s="15">
        <f t="shared" ref="E524" si="383">-((E521-E519)/E522)</f>
        <v>7.820641416</v>
      </c>
      <c r="F524" s="3" t="s">
        <v>20</v>
      </c>
    </row>
    <row r="525" spans="1:9" x14ac:dyDescent="0.45">
      <c r="A525" s="3"/>
      <c r="B525" s="3"/>
      <c r="C525" s="3"/>
      <c r="D525" s="3"/>
      <c r="E525" s="3"/>
      <c r="F525" s="3"/>
    </row>
    <row r="526" spans="1:9" ht="18.600000000000001" thickBot="1" x14ac:dyDescent="0.5">
      <c r="A526" s="3"/>
      <c r="B526" s="3"/>
      <c r="D526" s="3"/>
      <c r="E526" s="3"/>
      <c r="F526" s="3"/>
    </row>
    <row r="527" spans="1:9" ht="18.600000000000001" thickBot="1" x14ac:dyDescent="0.5">
      <c r="A527" s="10" t="s">
        <v>4</v>
      </c>
      <c r="B527" s="3"/>
      <c r="C527" s="3"/>
      <c r="D527" s="3"/>
      <c r="E527" s="4" t="s">
        <v>1</v>
      </c>
      <c r="F527" s="4"/>
      <c r="G527" s="38" t="s">
        <v>508</v>
      </c>
      <c r="H527" s="42">
        <f t="shared" ref="H527" si="384">H506+1</f>
        <v>26</v>
      </c>
      <c r="I527" t="s">
        <v>509</v>
      </c>
    </row>
    <row r="528" spans="1:9" ht="18.600000000000001" thickBot="1" x14ac:dyDescent="0.5">
      <c r="A528" s="133" t="s">
        <v>5</v>
      </c>
      <c r="B528" s="133"/>
      <c r="C528" s="133"/>
      <c r="D528" s="133"/>
      <c r="E528" s="11" t="s">
        <v>0</v>
      </c>
      <c r="F528" s="3"/>
      <c r="G528" s="36" t="s">
        <v>464</v>
      </c>
      <c r="H528" s="37">
        <f t="shared" ref="H528:H533" si="385">H507</f>
        <v>3980</v>
      </c>
      <c r="I528" t="s">
        <v>465</v>
      </c>
    </row>
    <row r="529" spans="1:9" ht="18.600000000000001" thickBot="1" x14ac:dyDescent="0.5">
      <c r="A529" s="85"/>
      <c r="B529" s="87"/>
      <c r="C529" s="127" t="s">
        <v>3</v>
      </c>
      <c r="D529" s="128"/>
      <c r="E529" s="29">
        <f t="shared" ref="E529" si="386">IF(H531="",0,H531)</f>
        <v>0</v>
      </c>
      <c r="F529" s="3"/>
      <c r="G529" s="25" t="s">
        <v>466</v>
      </c>
      <c r="H529" s="43">
        <f t="shared" si="385"/>
        <v>0.65</v>
      </c>
      <c r="I529" t="s">
        <v>469</v>
      </c>
    </row>
    <row r="530" spans="1:9" ht="18.600000000000001" thickBot="1" x14ac:dyDescent="0.5">
      <c r="A530" s="86"/>
      <c r="B530" s="88"/>
      <c r="C530" s="127" t="s">
        <v>6</v>
      </c>
      <c r="D530" s="128"/>
      <c r="E530" s="19">
        <f>IF(H534="",$H$7*0.06,H534)</f>
        <v>238.79999999999998</v>
      </c>
      <c r="F530" s="3"/>
      <c r="G530" s="25" t="s">
        <v>467</v>
      </c>
      <c r="H530" s="37">
        <f t="shared" si="385"/>
        <v>35</v>
      </c>
      <c r="I530" t="s">
        <v>468</v>
      </c>
    </row>
    <row r="531" spans="1:9" ht="18.600000000000001" thickBot="1" x14ac:dyDescent="0.5">
      <c r="A531" s="86"/>
      <c r="B531" s="91" t="s">
        <v>7</v>
      </c>
      <c r="C531" s="92"/>
      <c r="D531" s="92"/>
      <c r="E531" s="19">
        <f t="shared" ref="E531" si="387">SUM(E529:E530)</f>
        <v>238.79999999999998</v>
      </c>
      <c r="F531" s="3"/>
      <c r="G531" s="28" t="s">
        <v>3</v>
      </c>
      <c r="H531" s="37">
        <f t="shared" si="385"/>
        <v>0</v>
      </c>
      <c r="I531" t="s">
        <v>465</v>
      </c>
    </row>
    <row r="532" spans="1:9" ht="18.600000000000001" thickBot="1" x14ac:dyDescent="0.5">
      <c r="A532" s="86"/>
      <c r="B532" s="7"/>
      <c r="C532" s="5" t="s">
        <v>8</v>
      </c>
      <c r="D532" s="5"/>
      <c r="E532" s="49">
        <f>_xlfn.SWITCH(H527,1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3306.3888000000002</v>
      </c>
      <c r="F532" s="3"/>
      <c r="G532" s="28" t="s">
        <v>16</v>
      </c>
      <c r="H532" s="37">
        <f>真実の家賃!$I$8*AD28</f>
        <v>2507.4</v>
      </c>
      <c r="I532" t="s">
        <v>465</v>
      </c>
    </row>
    <row r="533" spans="1:9" ht="18.600000000000001" thickBot="1" x14ac:dyDescent="0.5">
      <c r="A533" s="86"/>
      <c r="B533" s="8"/>
      <c r="C533" s="127" t="s">
        <v>2</v>
      </c>
      <c r="D533" s="128"/>
      <c r="E533" s="19">
        <f t="shared" ref="E533" si="388">IF(H535="",H527*15,H535)</f>
        <v>390</v>
      </c>
      <c r="F533" s="3"/>
      <c r="G533" s="56" t="s">
        <v>573</v>
      </c>
      <c r="H533" s="40" t="str">
        <f t="shared" si="385"/>
        <v/>
      </c>
      <c r="I533" t="s">
        <v>465</v>
      </c>
    </row>
    <row r="534" spans="1:9" ht="18.600000000000001" thickBot="1" x14ac:dyDescent="0.5">
      <c r="A534" s="86"/>
      <c r="B534" s="8"/>
      <c r="C534" s="129" t="s">
        <v>9</v>
      </c>
      <c r="D534" s="129"/>
      <c r="E534" s="19">
        <f t="shared" ref="E534" si="389">_xlfn.SWITCH(H527,1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534" s="3"/>
      <c r="G534" s="34" t="s">
        <v>6</v>
      </c>
      <c r="H534" s="40" t="str">
        <f t="shared" si="353"/>
        <v/>
      </c>
      <c r="I534" t="s">
        <v>465</v>
      </c>
    </row>
    <row r="535" spans="1:9" ht="18.600000000000001" thickBot="1" x14ac:dyDescent="0.5">
      <c r="A535" s="86"/>
      <c r="B535" s="8"/>
      <c r="C535" s="130" t="s">
        <v>10</v>
      </c>
      <c r="D535" s="131"/>
      <c r="E535" s="19">
        <f t="shared" ref="E535" si="390">IF(H533="",$AA$3,H527*H533)</f>
        <v>0</v>
      </c>
      <c r="F535" s="3"/>
      <c r="G535" s="28" t="s">
        <v>560</v>
      </c>
      <c r="H535" s="40" t="str">
        <f t="shared" si="353"/>
        <v/>
      </c>
      <c r="I535" t="s">
        <v>465</v>
      </c>
    </row>
    <row r="536" spans="1:9" ht="18.600000000000001" thickBot="1" x14ac:dyDescent="0.5">
      <c r="A536" s="86"/>
      <c r="B536" s="132" t="s">
        <v>11</v>
      </c>
      <c r="C536" s="126"/>
      <c r="D536" s="126"/>
      <c r="E536" s="19">
        <f t="shared" ref="E536" si="391">SUM(E532:E535)</f>
        <v>3400.6475248000002</v>
      </c>
      <c r="F536" s="3"/>
      <c r="G536" s="33" t="s">
        <v>561</v>
      </c>
      <c r="H536" s="41" t="str">
        <f t="shared" si="353"/>
        <v/>
      </c>
      <c r="I536" t="s">
        <v>465</v>
      </c>
    </row>
    <row r="537" spans="1:9" ht="18.600000000000001" thickBot="1" x14ac:dyDescent="0.5">
      <c r="A537" s="86"/>
      <c r="B537" s="7"/>
      <c r="C537" s="127" t="s">
        <v>12</v>
      </c>
      <c r="D537" s="128"/>
      <c r="E537" s="19">
        <f t="shared" ref="E537" si="392">_xlfn.SWITCH(H527,1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1111.4197999999999</v>
      </c>
      <c r="F537" s="3"/>
      <c r="G537" s="32"/>
    </row>
    <row r="538" spans="1:9" ht="18.600000000000001" thickBot="1" x14ac:dyDescent="0.5">
      <c r="A538" s="86"/>
      <c r="B538" s="8"/>
      <c r="C538" s="127" t="s">
        <v>13</v>
      </c>
      <c r="D538" s="128"/>
      <c r="E538" s="19">
        <f t="shared" ref="E538" si="393">IF(H536="",H532*0.05,H536)</f>
        <v>125.37</v>
      </c>
      <c r="F538" s="3"/>
      <c r="G538" s="30"/>
    </row>
    <row r="539" spans="1:9" ht="18.600000000000001" thickBot="1" x14ac:dyDescent="0.5">
      <c r="A539" s="86"/>
      <c r="B539" s="132" t="s">
        <v>14</v>
      </c>
      <c r="C539" s="126"/>
      <c r="D539" s="126"/>
      <c r="E539" s="19">
        <f t="shared" ref="E539" si="394">SUM(E537:E538)</f>
        <v>1236.7898</v>
      </c>
      <c r="F539" s="3"/>
      <c r="G539" s="30"/>
    </row>
    <row r="540" spans="1:9" ht="18.600000000000001" thickBot="1" x14ac:dyDescent="0.5">
      <c r="A540" s="97" t="s">
        <v>15</v>
      </c>
      <c r="B540" s="98"/>
      <c r="C540" s="98"/>
      <c r="D540" s="99"/>
      <c r="E540" s="20">
        <f t="shared" ref="E540" si="395">E531+E536+E539</f>
        <v>4876.2373248000004</v>
      </c>
      <c r="F540" s="3"/>
      <c r="G540" s="30"/>
    </row>
    <row r="541" spans="1:9" ht="18.600000000000001" thickBot="1" x14ac:dyDescent="0.5">
      <c r="A541" s="6"/>
      <c r="B541" s="126" t="s">
        <v>16</v>
      </c>
      <c r="C541" s="126"/>
      <c r="D541" s="126"/>
      <c r="E541" s="19">
        <f t="shared" ref="E541" si="396">H532</f>
        <v>2507.4</v>
      </c>
      <c r="F541" s="3"/>
    </row>
    <row r="542" spans="1:9" ht="18.600000000000001" thickBot="1" x14ac:dyDescent="0.5">
      <c r="A542" s="97" t="s">
        <v>17</v>
      </c>
      <c r="B542" s="98"/>
      <c r="C542" s="98"/>
      <c r="D542" s="99"/>
      <c r="E542" s="20">
        <f t="shared" ref="E542" si="397">E541</f>
        <v>2507.4</v>
      </c>
      <c r="F542" s="3"/>
    </row>
    <row r="543" spans="1:9" ht="18.600000000000001" thickBot="1" x14ac:dyDescent="0.5">
      <c r="A543" s="96" t="s">
        <v>18</v>
      </c>
      <c r="B543" s="96"/>
      <c r="C543" s="96"/>
      <c r="D543" s="96"/>
      <c r="E543" s="14">
        <f t="shared" ref="E543" si="398">12*H527</f>
        <v>312</v>
      </c>
      <c r="F543" s="3"/>
    </row>
    <row r="544" spans="1:9" ht="18.600000000000001" thickBot="1" x14ac:dyDescent="0.5">
      <c r="A544" s="3"/>
      <c r="B544" s="3"/>
      <c r="C544" s="3"/>
      <c r="D544" s="3"/>
      <c r="E544" s="3"/>
      <c r="F544" s="3"/>
    </row>
    <row r="545" spans="1:9" ht="18.600000000000001" thickBot="1" x14ac:dyDescent="0.5">
      <c r="A545" s="12" t="s">
        <v>19</v>
      </c>
      <c r="B545" s="12"/>
      <c r="C545" s="12"/>
      <c r="D545" s="12"/>
      <c r="E545" s="15">
        <f t="shared" ref="E545" si="399">-((E542-E540)/E543)</f>
        <v>7.5924273230769241</v>
      </c>
      <c r="F545" s="3" t="s">
        <v>20</v>
      </c>
    </row>
    <row r="546" spans="1:9" x14ac:dyDescent="0.45">
      <c r="A546" s="3"/>
      <c r="B546" s="3"/>
      <c r="C546" s="3"/>
      <c r="D546" s="3"/>
      <c r="E546" s="3"/>
      <c r="F546" s="3"/>
    </row>
    <row r="547" spans="1:9" ht="18.600000000000001" thickBot="1" x14ac:dyDescent="0.5">
      <c r="A547" s="3"/>
      <c r="B547" s="3"/>
      <c r="D547" s="3"/>
      <c r="E547" s="3"/>
      <c r="F547" s="3"/>
    </row>
    <row r="548" spans="1:9" ht="18.600000000000001" thickBot="1" x14ac:dyDescent="0.5">
      <c r="A548" s="10" t="s">
        <v>4</v>
      </c>
      <c r="B548" s="3"/>
      <c r="C548" s="3"/>
      <c r="D548" s="3"/>
      <c r="E548" s="4" t="s">
        <v>1</v>
      </c>
      <c r="F548" s="4"/>
      <c r="G548" s="38" t="s">
        <v>508</v>
      </c>
      <c r="H548" s="42">
        <f t="shared" ref="H548" si="400">H527+1</f>
        <v>27</v>
      </c>
      <c r="I548" t="s">
        <v>509</v>
      </c>
    </row>
    <row r="549" spans="1:9" ht="18.600000000000001" thickBot="1" x14ac:dyDescent="0.5">
      <c r="A549" s="133" t="s">
        <v>5</v>
      </c>
      <c r="B549" s="133"/>
      <c r="C549" s="133"/>
      <c r="D549" s="133"/>
      <c r="E549" s="11" t="s">
        <v>0</v>
      </c>
      <c r="F549" s="3"/>
      <c r="G549" s="36" t="s">
        <v>464</v>
      </c>
      <c r="H549" s="37">
        <f t="shared" ref="H549:H554" si="401">H528</f>
        <v>3980</v>
      </c>
      <c r="I549" t="s">
        <v>465</v>
      </c>
    </row>
    <row r="550" spans="1:9" ht="18.600000000000001" thickBot="1" x14ac:dyDescent="0.5">
      <c r="A550" s="85"/>
      <c r="B550" s="87"/>
      <c r="C550" s="127" t="s">
        <v>3</v>
      </c>
      <c r="D550" s="128"/>
      <c r="E550" s="29">
        <f t="shared" ref="E550" si="402">IF(H552="",0,H552)</f>
        <v>0</v>
      </c>
      <c r="F550" s="3"/>
      <c r="G550" s="25" t="s">
        <v>466</v>
      </c>
      <c r="H550" s="43">
        <f t="shared" si="401"/>
        <v>0.65</v>
      </c>
      <c r="I550" t="s">
        <v>469</v>
      </c>
    </row>
    <row r="551" spans="1:9" ht="18.600000000000001" thickBot="1" x14ac:dyDescent="0.5">
      <c r="A551" s="86"/>
      <c r="B551" s="88"/>
      <c r="C551" s="127" t="s">
        <v>6</v>
      </c>
      <c r="D551" s="128"/>
      <c r="E551" s="19">
        <f>IF(H555="",$H$7*0.06,H555)</f>
        <v>238.79999999999998</v>
      </c>
      <c r="F551" s="3"/>
      <c r="G551" s="25" t="s">
        <v>467</v>
      </c>
      <c r="H551" s="37">
        <f t="shared" si="401"/>
        <v>35</v>
      </c>
      <c r="I551" t="s">
        <v>468</v>
      </c>
    </row>
    <row r="552" spans="1:9" ht="18.600000000000001" thickBot="1" x14ac:dyDescent="0.5">
      <c r="A552" s="86"/>
      <c r="B552" s="91" t="s">
        <v>7</v>
      </c>
      <c r="C552" s="92"/>
      <c r="D552" s="92"/>
      <c r="E552" s="19">
        <f t="shared" ref="E552" si="403">SUM(E550:E551)</f>
        <v>238.79999999999998</v>
      </c>
      <c r="F552" s="3"/>
      <c r="G552" s="28" t="s">
        <v>3</v>
      </c>
      <c r="H552" s="37">
        <f t="shared" si="401"/>
        <v>0</v>
      </c>
      <c r="I552" t="s">
        <v>465</v>
      </c>
    </row>
    <row r="553" spans="1:9" ht="18.600000000000001" thickBot="1" x14ac:dyDescent="0.5">
      <c r="A553" s="86"/>
      <c r="B553" s="7"/>
      <c r="C553" s="5" t="s">
        <v>8</v>
      </c>
      <c r="D553" s="5"/>
      <c r="E553" s="49">
        <f>_xlfn.SWITCH(H548,1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3433.5576000000001</v>
      </c>
      <c r="F553" s="3"/>
      <c r="G553" s="28" t="s">
        <v>16</v>
      </c>
      <c r="H553" s="37">
        <f>真実の家賃!$I$8*AD29</f>
        <v>2507.4</v>
      </c>
      <c r="I553" t="s">
        <v>465</v>
      </c>
    </row>
    <row r="554" spans="1:9" ht="18.600000000000001" thickBot="1" x14ac:dyDescent="0.5">
      <c r="A554" s="86"/>
      <c r="B554" s="8"/>
      <c r="C554" s="127" t="s">
        <v>2</v>
      </c>
      <c r="D554" s="128"/>
      <c r="E554" s="19">
        <f t="shared" ref="E554" si="404">IF(H556="",H548*15,H556)</f>
        <v>405</v>
      </c>
      <c r="F554" s="3"/>
      <c r="G554" s="56" t="s">
        <v>573</v>
      </c>
      <c r="H554" s="40" t="str">
        <f t="shared" si="401"/>
        <v/>
      </c>
      <c r="I554" t="s">
        <v>465</v>
      </c>
    </row>
    <row r="555" spans="1:9" ht="18.600000000000001" thickBot="1" x14ac:dyDescent="0.5">
      <c r="A555" s="86"/>
      <c r="B555" s="8"/>
      <c r="C555" s="129" t="s">
        <v>9</v>
      </c>
      <c r="D555" s="129"/>
      <c r="E555" s="19">
        <f t="shared" ref="E555" si="405">_xlfn.SWITCH(H548,1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555" s="3"/>
      <c r="G555" s="34" t="s">
        <v>6</v>
      </c>
      <c r="H555" s="40" t="str">
        <f t="shared" si="369"/>
        <v/>
      </c>
      <c r="I555" t="s">
        <v>465</v>
      </c>
    </row>
    <row r="556" spans="1:9" ht="18.600000000000001" thickBot="1" x14ac:dyDescent="0.5">
      <c r="A556" s="86"/>
      <c r="B556" s="8"/>
      <c r="C556" s="130" t="s">
        <v>10</v>
      </c>
      <c r="D556" s="131"/>
      <c r="E556" s="19">
        <f t="shared" ref="E556" si="406">IF(H554="",$AA$3,H548*H554)</f>
        <v>0</v>
      </c>
      <c r="F556" s="3"/>
      <c r="G556" s="28" t="s">
        <v>560</v>
      </c>
      <c r="H556" s="40" t="str">
        <f t="shared" si="369"/>
        <v/>
      </c>
      <c r="I556" t="s">
        <v>465</v>
      </c>
    </row>
    <row r="557" spans="1:9" ht="18.600000000000001" thickBot="1" x14ac:dyDescent="0.5">
      <c r="A557" s="86"/>
      <c r="B557" s="132" t="s">
        <v>11</v>
      </c>
      <c r="C557" s="126"/>
      <c r="D557" s="126"/>
      <c r="E557" s="19">
        <f t="shared" ref="E557" si="407">SUM(E553:E556)</f>
        <v>3542.8163248000001</v>
      </c>
      <c r="F557" s="3"/>
      <c r="G557" s="33" t="s">
        <v>561</v>
      </c>
      <c r="H557" s="41" t="str">
        <f t="shared" si="369"/>
        <v/>
      </c>
      <c r="I557" t="s">
        <v>465</v>
      </c>
    </row>
    <row r="558" spans="1:9" ht="18.600000000000001" thickBot="1" x14ac:dyDescent="0.5">
      <c r="A558" s="86"/>
      <c r="B558" s="7"/>
      <c r="C558" s="127" t="s">
        <v>12</v>
      </c>
      <c r="D558" s="128"/>
      <c r="E558" s="19">
        <f t="shared" ref="E558" si="408">_xlfn.SWITCH(H548,1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991.11670000000004</v>
      </c>
      <c r="F558" s="3"/>
      <c r="G558" s="32"/>
    </row>
    <row r="559" spans="1:9" ht="18.600000000000001" thickBot="1" x14ac:dyDescent="0.5">
      <c r="A559" s="86"/>
      <c r="B559" s="8"/>
      <c r="C559" s="127" t="s">
        <v>13</v>
      </c>
      <c r="D559" s="128"/>
      <c r="E559" s="19">
        <f t="shared" ref="E559" si="409">IF(H557="",H553*0.05,H557)</f>
        <v>125.37</v>
      </c>
      <c r="F559" s="3"/>
      <c r="G559" s="30"/>
    </row>
    <row r="560" spans="1:9" ht="18.600000000000001" thickBot="1" x14ac:dyDescent="0.5">
      <c r="A560" s="86"/>
      <c r="B560" s="132" t="s">
        <v>14</v>
      </c>
      <c r="C560" s="126"/>
      <c r="D560" s="126"/>
      <c r="E560" s="19">
        <f t="shared" ref="E560" si="410">SUM(E558:E559)</f>
        <v>1116.4866999999999</v>
      </c>
      <c r="F560" s="3"/>
      <c r="G560" s="30"/>
    </row>
    <row r="561" spans="1:9" ht="18.600000000000001" thickBot="1" x14ac:dyDescent="0.5">
      <c r="A561" s="97" t="s">
        <v>15</v>
      </c>
      <c r="B561" s="98"/>
      <c r="C561" s="98"/>
      <c r="D561" s="99"/>
      <c r="E561" s="20">
        <f t="shared" ref="E561" si="411">E552+E557+E560</f>
        <v>4898.1030248000006</v>
      </c>
      <c r="F561" s="3"/>
      <c r="G561" s="30"/>
    </row>
    <row r="562" spans="1:9" ht="18.600000000000001" thickBot="1" x14ac:dyDescent="0.5">
      <c r="A562" s="6"/>
      <c r="B562" s="126" t="s">
        <v>16</v>
      </c>
      <c r="C562" s="126"/>
      <c r="D562" s="126"/>
      <c r="E562" s="19">
        <f t="shared" ref="E562" si="412">H553</f>
        <v>2507.4</v>
      </c>
      <c r="F562" s="3"/>
    </row>
    <row r="563" spans="1:9" ht="18.600000000000001" thickBot="1" x14ac:dyDescent="0.5">
      <c r="A563" s="97" t="s">
        <v>17</v>
      </c>
      <c r="B563" s="98"/>
      <c r="C563" s="98"/>
      <c r="D563" s="99"/>
      <c r="E563" s="20">
        <f t="shared" ref="E563" si="413">E562</f>
        <v>2507.4</v>
      </c>
      <c r="F563" s="3"/>
    </row>
    <row r="564" spans="1:9" ht="18.600000000000001" thickBot="1" x14ac:dyDescent="0.5">
      <c r="A564" s="96" t="s">
        <v>18</v>
      </c>
      <c r="B564" s="96"/>
      <c r="C564" s="96"/>
      <c r="D564" s="96"/>
      <c r="E564" s="14">
        <f t="shared" ref="E564" si="414">12*H548</f>
        <v>324</v>
      </c>
      <c r="F564" s="3"/>
    </row>
    <row r="565" spans="1:9" ht="18.600000000000001" thickBot="1" x14ac:dyDescent="0.5">
      <c r="A565" s="3"/>
      <c r="B565" s="3"/>
      <c r="C565" s="3"/>
      <c r="D565" s="3"/>
      <c r="E565" s="3"/>
      <c r="F565" s="3"/>
    </row>
    <row r="566" spans="1:9" ht="18.600000000000001" thickBot="1" x14ac:dyDescent="0.5">
      <c r="A566" s="12" t="s">
        <v>19</v>
      </c>
      <c r="B566" s="12"/>
      <c r="C566" s="12"/>
      <c r="D566" s="12"/>
      <c r="E566" s="15">
        <f t="shared" ref="E566" si="415">-((E563-E561)/E564)</f>
        <v>7.3787130395061746</v>
      </c>
      <c r="F566" s="3" t="s">
        <v>20</v>
      </c>
    </row>
    <row r="567" spans="1:9" x14ac:dyDescent="0.45">
      <c r="A567" s="3"/>
      <c r="B567" s="3"/>
      <c r="C567" s="3"/>
      <c r="D567" s="3"/>
      <c r="E567" s="3"/>
      <c r="F567" s="3"/>
    </row>
    <row r="568" spans="1:9" ht="18.600000000000001" thickBot="1" x14ac:dyDescent="0.5">
      <c r="A568" s="3"/>
      <c r="B568" s="3"/>
      <c r="D568" s="3"/>
      <c r="E568" s="3"/>
      <c r="F568" s="3"/>
    </row>
    <row r="569" spans="1:9" ht="18.600000000000001" thickBot="1" x14ac:dyDescent="0.5">
      <c r="A569" s="10" t="s">
        <v>4</v>
      </c>
      <c r="B569" s="3"/>
      <c r="C569" s="3"/>
      <c r="D569" s="3"/>
      <c r="E569" s="4" t="s">
        <v>1</v>
      </c>
      <c r="F569" s="4"/>
      <c r="G569" s="38" t="s">
        <v>508</v>
      </c>
      <c r="H569" s="42">
        <f t="shared" ref="H569" si="416">H548+1</f>
        <v>28</v>
      </c>
      <c r="I569" t="s">
        <v>509</v>
      </c>
    </row>
    <row r="570" spans="1:9" ht="18.600000000000001" thickBot="1" x14ac:dyDescent="0.5">
      <c r="A570" s="133" t="s">
        <v>5</v>
      </c>
      <c r="B570" s="133"/>
      <c r="C570" s="133"/>
      <c r="D570" s="133"/>
      <c r="E570" s="11" t="s">
        <v>0</v>
      </c>
      <c r="F570" s="3"/>
      <c r="G570" s="36" t="s">
        <v>464</v>
      </c>
      <c r="H570" s="37">
        <f t="shared" ref="H570:H620" si="417">H549</f>
        <v>3980</v>
      </c>
      <c r="I570" t="s">
        <v>465</v>
      </c>
    </row>
    <row r="571" spans="1:9" ht="18.600000000000001" thickBot="1" x14ac:dyDescent="0.5">
      <c r="A571" s="85"/>
      <c r="B571" s="87"/>
      <c r="C571" s="127" t="s">
        <v>3</v>
      </c>
      <c r="D571" s="128"/>
      <c r="E571" s="29">
        <f t="shared" ref="E571" si="418">IF(H573="",0,H573)</f>
        <v>0</v>
      </c>
      <c r="F571" s="3"/>
      <c r="G571" s="25" t="s">
        <v>466</v>
      </c>
      <c r="H571" s="43">
        <f t="shared" si="417"/>
        <v>0.65</v>
      </c>
      <c r="I571" t="s">
        <v>469</v>
      </c>
    </row>
    <row r="572" spans="1:9" ht="18.600000000000001" thickBot="1" x14ac:dyDescent="0.5">
      <c r="A572" s="86"/>
      <c r="B572" s="88"/>
      <c r="C572" s="127" t="s">
        <v>6</v>
      </c>
      <c r="D572" s="128"/>
      <c r="E572" s="19">
        <f>IF(H576="",$H$7*0.06,H576)</f>
        <v>238.79999999999998</v>
      </c>
      <c r="F572" s="3"/>
      <c r="G572" s="25" t="s">
        <v>467</v>
      </c>
      <c r="H572" s="37">
        <f t="shared" si="417"/>
        <v>35</v>
      </c>
      <c r="I572" t="s">
        <v>468</v>
      </c>
    </row>
    <row r="573" spans="1:9" ht="18.600000000000001" thickBot="1" x14ac:dyDescent="0.5">
      <c r="A573" s="86"/>
      <c r="B573" s="91" t="s">
        <v>7</v>
      </c>
      <c r="C573" s="92"/>
      <c r="D573" s="92"/>
      <c r="E573" s="19">
        <f t="shared" ref="E573" si="419">SUM(E571:E572)</f>
        <v>238.79999999999998</v>
      </c>
      <c r="F573" s="3"/>
      <c r="G573" s="28" t="s">
        <v>3</v>
      </c>
      <c r="H573" s="37">
        <f t="shared" si="417"/>
        <v>0</v>
      </c>
      <c r="I573" t="s">
        <v>465</v>
      </c>
    </row>
    <row r="574" spans="1:9" ht="18.600000000000001" thickBot="1" x14ac:dyDescent="0.5">
      <c r="A574" s="86"/>
      <c r="B574" s="7"/>
      <c r="C574" s="5" t="s">
        <v>8</v>
      </c>
      <c r="D574" s="5"/>
      <c r="E574" s="49">
        <f>_xlfn.SWITCH(H569,1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3560.7264</v>
      </c>
      <c r="F574" s="3"/>
      <c r="G574" s="28" t="s">
        <v>16</v>
      </c>
      <c r="H574" s="37">
        <f>真実の家賃!$I$8*AD30</f>
        <v>2507.4</v>
      </c>
      <c r="I574" t="s">
        <v>465</v>
      </c>
    </row>
    <row r="575" spans="1:9" ht="18.600000000000001" thickBot="1" x14ac:dyDescent="0.5">
      <c r="A575" s="86"/>
      <c r="B575" s="8"/>
      <c r="C575" s="127" t="s">
        <v>2</v>
      </c>
      <c r="D575" s="128"/>
      <c r="E575" s="19">
        <f t="shared" ref="E575" si="420">IF(H577="",H569*15,H577)</f>
        <v>420</v>
      </c>
      <c r="F575" s="3"/>
      <c r="G575" s="56" t="s">
        <v>573</v>
      </c>
      <c r="H575" s="40" t="str">
        <f t="shared" si="417"/>
        <v/>
      </c>
      <c r="I575" t="s">
        <v>465</v>
      </c>
    </row>
    <row r="576" spans="1:9" ht="18.600000000000001" thickBot="1" x14ac:dyDescent="0.5">
      <c r="A576" s="86"/>
      <c r="B576" s="8"/>
      <c r="C576" s="129" t="s">
        <v>9</v>
      </c>
      <c r="D576" s="129"/>
      <c r="E576" s="19">
        <f t="shared" ref="E576" si="421">_xlfn.SWITCH(H569,1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576" s="3"/>
      <c r="G576" s="34" t="s">
        <v>6</v>
      </c>
      <c r="H576" s="40" t="str">
        <f t="shared" si="417"/>
        <v/>
      </c>
      <c r="I576" t="s">
        <v>465</v>
      </c>
    </row>
    <row r="577" spans="1:9" ht="18.600000000000001" thickBot="1" x14ac:dyDescent="0.5">
      <c r="A577" s="86"/>
      <c r="B577" s="8"/>
      <c r="C577" s="130" t="s">
        <v>10</v>
      </c>
      <c r="D577" s="131"/>
      <c r="E577" s="19">
        <f t="shared" ref="E577" si="422">IF(H575="",$AA$3,H569*H575)</f>
        <v>0</v>
      </c>
      <c r="F577" s="3"/>
      <c r="G577" s="28" t="s">
        <v>560</v>
      </c>
      <c r="H577" s="40" t="str">
        <f t="shared" si="417"/>
        <v/>
      </c>
      <c r="I577" t="s">
        <v>465</v>
      </c>
    </row>
    <row r="578" spans="1:9" ht="18.600000000000001" thickBot="1" x14ac:dyDescent="0.5">
      <c r="A578" s="86"/>
      <c r="B578" s="132" t="s">
        <v>11</v>
      </c>
      <c r="C578" s="126"/>
      <c r="D578" s="126"/>
      <c r="E578" s="19">
        <f t="shared" ref="E578" si="423">SUM(E574:E577)</f>
        <v>3684.9851248</v>
      </c>
      <c r="F578" s="3"/>
      <c r="G578" s="33" t="s">
        <v>561</v>
      </c>
      <c r="H578" s="41" t="str">
        <f t="shared" si="417"/>
        <v/>
      </c>
      <c r="I578" t="s">
        <v>465</v>
      </c>
    </row>
    <row r="579" spans="1:9" ht="18.600000000000001" thickBot="1" x14ac:dyDescent="0.5">
      <c r="A579" s="86"/>
      <c r="B579" s="7"/>
      <c r="C579" s="127" t="s">
        <v>12</v>
      </c>
      <c r="D579" s="128"/>
      <c r="E579" s="19">
        <f t="shared" ref="E579" si="424">_xlfn.SWITCH(H569,1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870.02930000000003</v>
      </c>
      <c r="F579" s="3"/>
      <c r="G579" s="32"/>
    </row>
    <row r="580" spans="1:9" ht="18.600000000000001" thickBot="1" x14ac:dyDescent="0.5">
      <c r="A580" s="86"/>
      <c r="B580" s="8"/>
      <c r="C580" s="127" t="s">
        <v>13</v>
      </c>
      <c r="D580" s="128"/>
      <c r="E580" s="19">
        <f t="shared" ref="E580" si="425">IF(H578="",H574*0.05,H578)</f>
        <v>125.37</v>
      </c>
      <c r="F580" s="3"/>
      <c r="G580" s="30"/>
    </row>
    <row r="581" spans="1:9" ht="18.600000000000001" thickBot="1" x14ac:dyDescent="0.5">
      <c r="A581" s="86"/>
      <c r="B581" s="132" t="s">
        <v>14</v>
      </c>
      <c r="C581" s="126"/>
      <c r="D581" s="126"/>
      <c r="E581" s="19">
        <f t="shared" ref="E581" si="426">SUM(E579:E580)</f>
        <v>995.39930000000004</v>
      </c>
      <c r="F581" s="3"/>
      <c r="G581" s="30"/>
    </row>
    <row r="582" spans="1:9" ht="18.600000000000001" thickBot="1" x14ac:dyDescent="0.5">
      <c r="A582" s="97" t="s">
        <v>15</v>
      </c>
      <c r="B582" s="98"/>
      <c r="C582" s="98"/>
      <c r="D582" s="99"/>
      <c r="E582" s="20">
        <f t="shared" ref="E582" si="427">E573+E578+E581</f>
        <v>4919.1844247999998</v>
      </c>
      <c r="F582" s="3"/>
      <c r="G582" s="30"/>
    </row>
    <row r="583" spans="1:9" ht="18.600000000000001" thickBot="1" x14ac:dyDescent="0.5">
      <c r="A583" s="6"/>
      <c r="B583" s="126" t="s">
        <v>16</v>
      </c>
      <c r="C583" s="126"/>
      <c r="D583" s="126"/>
      <c r="E583" s="19">
        <f t="shared" ref="E583" si="428">H574</f>
        <v>2507.4</v>
      </c>
      <c r="F583" s="3"/>
    </row>
    <row r="584" spans="1:9" ht="18.600000000000001" thickBot="1" x14ac:dyDescent="0.5">
      <c r="A584" s="97" t="s">
        <v>17</v>
      </c>
      <c r="B584" s="98"/>
      <c r="C584" s="98"/>
      <c r="D584" s="99"/>
      <c r="E584" s="20">
        <f t="shared" ref="E584" si="429">E583</f>
        <v>2507.4</v>
      </c>
      <c r="F584" s="3"/>
    </row>
    <row r="585" spans="1:9" ht="18.600000000000001" thickBot="1" x14ac:dyDescent="0.5">
      <c r="A585" s="96" t="s">
        <v>18</v>
      </c>
      <c r="B585" s="96"/>
      <c r="C585" s="96"/>
      <c r="D585" s="96"/>
      <c r="E585" s="14">
        <f t="shared" ref="E585" si="430">12*H569</f>
        <v>336</v>
      </c>
      <c r="F585" s="3"/>
    </row>
    <row r="586" spans="1:9" ht="18.600000000000001" thickBot="1" x14ac:dyDescent="0.5">
      <c r="A586" s="3"/>
      <c r="B586" s="3"/>
      <c r="C586" s="3"/>
      <c r="D586" s="3"/>
      <c r="E586" s="3"/>
      <c r="F586" s="3"/>
    </row>
    <row r="587" spans="1:9" ht="18.600000000000001" thickBot="1" x14ac:dyDescent="0.5">
      <c r="A587" s="12" t="s">
        <v>19</v>
      </c>
      <c r="B587" s="12"/>
      <c r="C587" s="12"/>
      <c r="D587" s="12"/>
      <c r="E587" s="15">
        <f t="shared" ref="E587" si="431">-((E584-E582)/E585)</f>
        <v>7.1779298357142851</v>
      </c>
      <c r="F587" s="3" t="s">
        <v>20</v>
      </c>
    </row>
    <row r="588" spans="1:9" x14ac:dyDescent="0.45">
      <c r="A588" s="3"/>
      <c r="B588" s="3"/>
      <c r="C588" s="3"/>
      <c r="D588" s="3"/>
      <c r="E588" s="3"/>
      <c r="F588" s="3"/>
    </row>
    <row r="589" spans="1:9" ht="18.600000000000001" thickBot="1" x14ac:dyDescent="0.5">
      <c r="A589" s="3"/>
      <c r="B589" s="3"/>
      <c r="D589" s="3"/>
      <c r="E589" s="3"/>
      <c r="F589" s="3"/>
    </row>
    <row r="590" spans="1:9" ht="18.600000000000001" thickBot="1" x14ac:dyDescent="0.5">
      <c r="A590" s="10" t="s">
        <v>4</v>
      </c>
      <c r="B590" s="3"/>
      <c r="C590" s="3"/>
      <c r="D590" s="3"/>
      <c r="E590" s="4" t="s">
        <v>1</v>
      </c>
      <c r="F590" s="4"/>
      <c r="G590" s="38" t="s">
        <v>508</v>
      </c>
      <c r="H590" s="42">
        <f t="shared" ref="H590" si="432">H569+1</f>
        <v>29</v>
      </c>
      <c r="I590" t="s">
        <v>509</v>
      </c>
    </row>
    <row r="591" spans="1:9" ht="18.600000000000001" thickBot="1" x14ac:dyDescent="0.5">
      <c r="A591" s="133" t="s">
        <v>5</v>
      </c>
      <c r="B591" s="133"/>
      <c r="C591" s="133"/>
      <c r="D591" s="133"/>
      <c r="E591" s="11" t="s">
        <v>0</v>
      </c>
      <c r="F591" s="3"/>
      <c r="G591" s="36" t="s">
        <v>464</v>
      </c>
      <c r="H591" s="37">
        <f t="shared" ref="H591:H641" si="433">H570</f>
        <v>3980</v>
      </c>
      <c r="I591" t="s">
        <v>465</v>
      </c>
    </row>
    <row r="592" spans="1:9" ht="18.600000000000001" thickBot="1" x14ac:dyDescent="0.5">
      <c r="A592" s="85"/>
      <c r="B592" s="87"/>
      <c r="C592" s="127" t="s">
        <v>3</v>
      </c>
      <c r="D592" s="128"/>
      <c r="E592" s="29">
        <f t="shared" ref="E592" si="434">IF(H594="",0,H594)</f>
        <v>0</v>
      </c>
      <c r="F592" s="3"/>
      <c r="G592" s="25" t="s">
        <v>466</v>
      </c>
      <c r="H592" s="43">
        <f t="shared" si="433"/>
        <v>0.65</v>
      </c>
      <c r="I592" t="s">
        <v>469</v>
      </c>
    </row>
    <row r="593" spans="1:9" ht="18.600000000000001" thickBot="1" x14ac:dyDescent="0.5">
      <c r="A593" s="86"/>
      <c r="B593" s="88"/>
      <c r="C593" s="127" t="s">
        <v>6</v>
      </c>
      <c r="D593" s="128"/>
      <c r="E593" s="19">
        <f>IF(H597="",$H$7*0.06,H597)</f>
        <v>238.79999999999998</v>
      </c>
      <c r="F593" s="3"/>
      <c r="G593" s="25" t="s">
        <v>467</v>
      </c>
      <c r="H593" s="37">
        <f t="shared" si="433"/>
        <v>35</v>
      </c>
      <c r="I593" t="s">
        <v>468</v>
      </c>
    </row>
    <row r="594" spans="1:9" ht="18.600000000000001" thickBot="1" x14ac:dyDescent="0.5">
      <c r="A594" s="86"/>
      <c r="B594" s="91" t="s">
        <v>7</v>
      </c>
      <c r="C594" s="92"/>
      <c r="D594" s="92"/>
      <c r="E594" s="19">
        <f t="shared" ref="E594" si="435">SUM(E592:E593)</f>
        <v>238.79999999999998</v>
      </c>
      <c r="F594" s="3"/>
      <c r="G594" s="28" t="s">
        <v>3</v>
      </c>
      <c r="H594" s="37">
        <f t="shared" si="433"/>
        <v>0</v>
      </c>
      <c r="I594" t="s">
        <v>465</v>
      </c>
    </row>
    <row r="595" spans="1:9" ht="18.600000000000001" thickBot="1" x14ac:dyDescent="0.5">
      <c r="A595" s="86"/>
      <c r="B595" s="7"/>
      <c r="C595" s="5" t="s">
        <v>8</v>
      </c>
      <c r="D595" s="5"/>
      <c r="E595" s="49">
        <f>_xlfn.SWITCH(H590,1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3687.8951999999999</v>
      </c>
      <c r="F595" s="3"/>
      <c r="G595" s="28" t="s">
        <v>16</v>
      </c>
      <c r="H595" s="37">
        <f>真実の家賃!$I$8*AD31</f>
        <v>2507.4</v>
      </c>
      <c r="I595" t="s">
        <v>465</v>
      </c>
    </row>
    <row r="596" spans="1:9" ht="18.600000000000001" thickBot="1" x14ac:dyDescent="0.5">
      <c r="A596" s="86"/>
      <c r="B596" s="8"/>
      <c r="C596" s="127" t="s">
        <v>2</v>
      </c>
      <c r="D596" s="128"/>
      <c r="E596" s="19">
        <f t="shared" ref="E596" si="436">IF(H598="",H590*15,H598)</f>
        <v>435</v>
      </c>
      <c r="F596" s="3"/>
      <c r="G596" s="56" t="s">
        <v>573</v>
      </c>
      <c r="H596" s="40" t="str">
        <f t="shared" si="433"/>
        <v/>
      </c>
      <c r="I596" t="s">
        <v>465</v>
      </c>
    </row>
    <row r="597" spans="1:9" ht="18.600000000000001" thickBot="1" x14ac:dyDescent="0.5">
      <c r="A597" s="86"/>
      <c r="B597" s="8"/>
      <c r="C597" s="129" t="s">
        <v>9</v>
      </c>
      <c r="D597" s="129"/>
      <c r="E597" s="19">
        <f t="shared" ref="E597" si="437">_xlfn.SWITCH(H590,1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597" s="3"/>
      <c r="G597" s="34" t="s">
        <v>6</v>
      </c>
      <c r="H597" s="40" t="str">
        <f t="shared" si="433"/>
        <v/>
      </c>
      <c r="I597" t="s">
        <v>465</v>
      </c>
    </row>
    <row r="598" spans="1:9" ht="18.600000000000001" thickBot="1" x14ac:dyDescent="0.5">
      <c r="A598" s="86"/>
      <c r="B598" s="8"/>
      <c r="C598" s="130" t="s">
        <v>10</v>
      </c>
      <c r="D598" s="131"/>
      <c r="E598" s="19">
        <f t="shared" ref="E598" si="438">IF(H596="",$AA$3,H590*H596)</f>
        <v>0</v>
      </c>
      <c r="F598" s="3"/>
      <c r="G598" s="28" t="s">
        <v>560</v>
      </c>
      <c r="H598" s="40" t="str">
        <f t="shared" si="433"/>
        <v/>
      </c>
      <c r="I598" t="s">
        <v>465</v>
      </c>
    </row>
    <row r="599" spans="1:9" ht="18.600000000000001" thickBot="1" x14ac:dyDescent="0.5">
      <c r="A599" s="86"/>
      <c r="B599" s="132" t="s">
        <v>11</v>
      </c>
      <c r="C599" s="126"/>
      <c r="D599" s="126"/>
      <c r="E599" s="19">
        <f t="shared" ref="E599" si="439">SUM(E595:E598)</f>
        <v>3827.1539247999999</v>
      </c>
      <c r="F599" s="3"/>
      <c r="G599" s="33" t="s">
        <v>561</v>
      </c>
      <c r="H599" s="41" t="str">
        <f t="shared" si="433"/>
        <v/>
      </c>
      <c r="I599" t="s">
        <v>465</v>
      </c>
    </row>
    <row r="600" spans="1:9" ht="18.600000000000001" thickBot="1" x14ac:dyDescent="0.5">
      <c r="A600" s="86"/>
      <c r="B600" s="7"/>
      <c r="C600" s="127" t="s">
        <v>12</v>
      </c>
      <c r="D600" s="128"/>
      <c r="E600" s="19">
        <f t="shared" ref="E600" si="440">_xlfn.SWITCH(H590,1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748.15250000000003</v>
      </c>
      <c r="F600" s="3"/>
      <c r="G600" s="32"/>
    </row>
    <row r="601" spans="1:9" ht="18.600000000000001" thickBot="1" x14ac:dyDescent="0.5">
      <c r="A601" s="86"/>
      <c r="B601" s="8"/>
      <c r="C601" s="127" t="s">
        <v>13</v>
      </c>
      <c r="D601" s="128"/>
      <c r="E601" s="19">
        <f t="shared" ref="E601" si="441">IF(H599="",H595*0.05,H599)</f>
        <v>125.37</v>
      </c>
      <c r="F601" s="3"/>
      <c r="G601" s="30"/>
    </row>
    <row r="602" spans="1:9" ht="18.600000000000001" thickBot="1" x14ac:dyDescent="0.5">
      <c r="A602" s="86"/>
      <c r="B602" s="132" t="s">
        <v>14</v>
      </c>
      <c r="C602" s="126"/>
      <c r="D602" s="126"/>
      <c r="E602" s="19">
        <f t="shared" ref="E602" si="442">SUM(E600:E601)</f>
        <v>873.52250000000004</v>
      </c>
      <c r="F602" s="3"/>
      <c r="G602" s="30"/>
    </row>
    <row r="603" spans="1:9" ht="18.600000000000001" thickBot="1" x14ac:dyDescent="0.5">
      <c r="A603" s="97" t="s">
        <v>15</v>
      </c>
      <c r="B603" s="98"/>
      <c r="C603" s="98"/>
      <c r="D603" s="99"/>
      <c r="E603" s="20">
        <f t="shared" ref="E603" si="443">E594+E599+E602</f>
        <v>4939.4764248000001</v>
      </c>
      <c r="F603" s="3"/>
      <c r="G603" s="30"/>
    </row>
    <row r="604" spans="1:9" ht="18.600000000000001" thickBot="1" x14ac:dyDescent="0.5">
      <c r="A604" s="6"/>
      <c r="B604" s="126" t="s">
        <v>16</v>
      </c>
      <c r="C604" s="126"/>
      <c r="D604" s="126"/>
      <c r="E604" s="19">
        <f t="shared" ref="E604" si="444">H595</f>
        <v>2507.4</v>
      </c>
      <c r="F604" s="3"/>
    </row>
    <row r="605" spans="1:9" ht="18.600000000000001" thickBot="1" x14ac:dyDescent="0.5">
      <c r="A605" s="97" t="s">
        <v>17</v>
      </c>
      <c r="B605" s="98"/>
      <c r="C605" s="98"/>
      <c r="D605" s="99"/>
      <c r="E605" s="20">
        <f t="shared" ref="E605" si="445">E604</f>
        <v>2507.4</v>
      </c>
      <c r="F605" s="3"/>
    </row>
    <row r="606" spans="1:9" ht="18.600000000000001" thickBot="1" x14ac:dyDescent="0.5">
      <c r="A606" s="96" t="s">
        <v>18</v>
      </c>
      <c r="B606" s="96"/>
      <c r="C606" s="96"/>
      <c r="D606" s="96"/>
      <c r="E606" s="14">
        <f t="shared" ref="E606" si="446">12*H590</f>
        <v>348</v>
      </c>
      <c r="F606" s="3"/>
    </row>
    <row r="607" spans="1:9" ht="18.600000000000001" thickBot="1" x14ac:dyDescent="0.5">
      <c r="A607" s="3"/>
      <c r="B607" s="3"/>
      <c r="C607" s="3"/>
      <c r="D607" s="3"/>
      <c r="E607" s="3"/>
      <c r="F607" s="3"/>
    </row>
    <row r="608" spans="1:9" ht="18.600000000000001" thickBot="1" x14ac:dyDescent="0.5">
      <c r="A608" s="12" t="s">
        <v>19</v>
      </c>
      <c r="B608" s="12"/>
      <c r="C608" s="12"/>
      <c r="D608" s="12"/>
      <c r="E608" s="15">
        <f t="shared" ref="E608" si="447">-((E605-E603)/E606)</f>
        <v>6.9887253586206901</v>
      </c>
      <c r="F608" s="3" t="s">
        <v>20</v>
      </c>
    </row>
    <row r="609" spans="1:9" x14ac:dyDescent="0.45">
      <c r="A609" s="3"/>
      <c r="B609" s="3"/>
      <c r="C609" s="3"/>
      <c r="D609" s="3"/>
      <c r="E609" s="3"/>
      <c r="F609" s="3"/>
    </row>
    <row r="610" spans="1:9" ht="18.600000000000001" thickBot="1" x14ac:dyDescent="0.5">
      <c r="A610" s="3"/>
      <c r="B610" s="3"/>
      <c r="D610" s="3"/>
      <c r="E610" s="3"/>
      <c r="F610" s="3"/>
    </row>
    <row r="611" spans="1:9" ht="18.600000000000001" thickBot="1" x14ac:dyDescent="0.5">
      <c r="A611" s="10" t="s">
        <v>4</v>
      </c>
      <c r="B611" s="3"/>
      <c r="C611" s="3"/>
      <c r="D611" s="3"/>
      <c r="E611" s="4" t="s">
        <v>1</v>
      </c>
      <c r="F611" s="4"/>
      <c r="G611" s="38" t="s">
        <v>508</v>
      </c>
      <c r="H611" s="42">
        <f t="shared" ref="H611" si="448">H590+1</f>
        <v>30</v>
      </c>
      <c r="I611" t="s">
        <v>509</v>
      </c>
    </row>
    <row r="612" spans="1:9" ht="18.600000000000001" thickBot="1" x14ac:dyDescent="0.5">
      <c r="A612" s="133" t="s">
        <v>5</v>
      </c>
      <c r="B612" s="133"/>
      <c r="C612" s="133"/>
      <c r="D612" s="133"/>
      <c r="E612" s="11" t="s">
        <v>0</v>
      </c>
      <c r="F612" s="3"/>
      <c r="G612" s="36" t="s">
        <v>464</v>
      </c>
      <c r="H612" s="37">
        <f t="shared" ref="H612:H617" si="449">H591</f>
        <v>3980</v>
      </c>
      <c r="I612" t="s">
        <v>465</v>
      </c>
    </row>
    <row r="613" spans="1:9" ht="18.600000000000001" thickBot="1" x14ac:dyDescent="0.5">
      <c r="A613" s="85"/>
      <c r="B613" s="87"/>
      <c r="C613" s="127" t="s">
        <v>3</v>
      </c>
      <c r="D613" s="128"/>
      <c r="E613" s="29">
        <f t="shared" ref="E613" si="450">IF(H615="",0,H615)</f>
        <v>0</v>
      </c>
      <c r="F613" s="3"/>
      <c r="G613" s="25" t="s">
        <v>466</v>
      </c>
      <c r="H613" s="43">
        <f t="shared" si="449"/>
        <v>0.65</v>
      </c>
      <c r="I613" t="s">
        <v>469</v>
      </c>
    </row>
    <row r="614" spans="1:9" ht="18.600000000000001" thickBot="1" x14ac:dyDescent="0.5">
      <c r="A614" s="86"/>
      <c r="B614" s="88"/>
      <c r="C614" s="127" t="s">
        <v>6</v>
      </c>
      <c r="D614" s="128"/>
      <c r="E614" s="19">
        <f>IF(H618="",$H$7*0.06,H618)</f>
        <v>238.79999999999998</v>
      </c>
      <c r="F614" s="3"/>
      <c r="G614" s="25" t="s">
        <v>467</v>
      </c>
      <c r="H614" s="37">
        <f t="shared" si="449"/>
        <v>35</v>
      </c>
      <c r="I614" t="s">
        <v>468</v>
      </c>
    </row>
    <row r="615" spans="1:9" ht="18.600000000000001" thickBot="1" x14ac:dyDescent="0.5">
      <c r="A615" s="86"/>
      <c r="B615" s="91" t="s">
        <v>7</v>
      </c>
      <c r="C615" s="92"/>
      <c r="D615" s="92"/>
      <c r="E615" s="19">
        <f t="shared" ref="E615" si="451">SUM(E613:E614)</f>
        <v>238.79999999999998</v>
      </c>
      <c r="F615" s="3"/>
      <c r="G615" s="28" t="s">
        <v>3</v>
      </c>
      <c r="H615" s="37">
        <f t="shared" si="449"/>
        <v>0</v>
      </c>
      <c r="I615" t="s">
        <v>465</v>
      </c>
    </row>
    <row r="616" spans="1:9" ht="18.600000000000001" thickBot="1" x14ac:dyDescent="0.5">
      <c r="A616" s="86"/>
      <c r="B616" s="7"/>
      <c r="C616" s="5" t="s">
        <v>8</v>
      </c>
      <c r="D616" s="5"/>
      <c r="E616" s="49">
        <f>_xlfn.SWITCH(H611,1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3815.0639999999999</v>
      </c>
      <c r="F616" s="3"/>
      <c r="G616" s="28" t="s">
        <v>16</v>
      </c>
      <c r="H616" s="37">
        <f>真実の家賃!$I$8*AD32</f>
        <v>2507.4</v>
      </c>
      <c r="I616" t="s">
        <v>465</v>
      </c>
    </row>
    <row r="617" spans="1:9" ht="18.600000000000001" thickBot="1" x14ac:dyDescent="0.5">
      <c r="A617" s="86"/>
      <c r="B617" s="8"/>
      <c r="C617" s="127" t="s">
        <v>2</v>
      </c>
      <c r="D617" s="128"/>
      <c r="E617" s="19">
        <f t="shared" ref="E617" si="452">IF(H619="",H611*15,H619)</f>
        <v>450</v>
      </c>
      <c r="F617" s="3"/>
      <c r="G617" s="56" t="s">
        <v>573</v>
      </c>
      <c r="H617" s="40" t="str">
        <f t="shared" si="449"/>
        <v/>
      </c>
      <c r="I617" t="s">
        <v>465</v>
      </c>
    </row>
    <row r="618" spans="1:9" ht="18.600000000000001" thickBot="1" x14ac:dyDescent="0.5">
      <c r="A618" s="86"/>
      <c r="B618" s="8"/>
      <c r="C618" s="129" t="s">
        <v>9</v>
      </c>
      <c r="D618" s="129"/>
      <c r="E618" s="19">
        <f t="shared" ref="E618" si="453">_xlfn.SWITCH(H611,1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618" s="3"/>
      <c r="G618" s="34" t="s">
        <v>6</v>
      </c>
      <c r="H618" s="40" t="str">
        <f t="shared" si="417"/>
        <v/>
      </c>
      <c r="I618" t="s">
        <v>465</v>
      </c>
    </row>
    <row r="619" spans="1:9" ht="18.600000000000001" thickBot="1" x14ac:dyDescent="0.5">
      <c r="A619" s="86"/>
      <c r="B619" s="8"/>
      <c r="C619" s="130" t="s">
        <v>10</v>
      </c>
      <c r="D619" s="131"/>
      <c r="E619" s="19">
        <f t="shared" ref="E619" si="454">IF(H617="",$AA$3,H611*H617)</f>
        <v>0</v>
      </c>
      <c r="F619" s="3"/>
      <c r="G619" s="28" t="s">
        <v>560</v>
      </c>
      <c r="H619" s="40" t="str">
        <f t="shared" si="417"/>
        <v/>
      </c>
      <c r="I619" t="s">
        <v>465</v>
      </c>
    </row>
    <row r="620" spans="1:9" ht="18.600000000000001" thickBot="1" x14ac:dyDescent="0.5">
      <c r="A620" s="86"/>
      <c r="B620" s="132" t="s">
        <v>11</v>
      </c>
      <c r="C620" s="126"/>
      <c r="D620" s="126"/>
      <c r="E620" s="19">
        <f t="shared" ref="E620" si="455">SUM(E616:E619)</f>
        <v>3969.3227248000003</v>
      </c>
      <c r="F620" s="3"/>
      <c r="G620" s="33" t="s">
        <v>561</v>
      </c>
      <c r="H620" s="41" t="str">
        <f t="shared" si="417"/>
        <v/>
      </c>
      <c r="I620" t="s">
        <v>465</v>
      </c>
    </row>
    <row r="621" spans="1:9" ht="18.600000000000001" thickBot="1" x14ac:dyDescent="0.5">
      <c r="A621" s="86"/>
      <c r="B621" s="7"/>
      <c r="C621" s="127" t="s">
        <v>12</v>
      </c>
      <c r="D621" s="128"/>
      <c r="E621" s="19">
        <f t="shared" ref="E621" si="456">_xlfn.SWITCH(H611,1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625.48109999999997</v>
      </c>
      <c r="F621" s="3"/>
      <c r="G621" s="32"/>
    </row>
    <row r="622" spans="1:9" ht="18.600000000000001" thickBot="1" x14ac:dyDescent="0.5">
      <c r="A622" s="86"/>
      <c r="B622" s="8"/>
      <c r="C622" s="127" t="s">
        <v>13</v>
      </c>
      <c r="D622" s="128"/>
      <c r="E622" s="19">
        <f t="shared" ref="E622" si="457">IF(H620="",H616*0.05,H620)</f>
        <v>125.37</v>
      </c>
      <c r="F622" s="3"/>
      <c r="G622" s="30"/>
    </row>
    <row r="623" spans="1:9" ht="18.600000000000001" thickBot="1" x14ac:dyDescent="0.5">
      <c r="A623" s="86"/>
      <c r="B623" s="132" t="s">
        <v>14</v>
      </c>
      <c r="C623" s="126"/>
      <c r="D623" s="126"/>
      <c r="E623" s="19">
        <f t="shared" ref="E623" si="458">SUM(E621:E622)</f>
        <v>750.85109999999997</v>
      </c>
      <c r="F623" s="3"/>
      <c r="G623" s="30"/>
    </row>
    <row r="624" spans="1:9" ht="18.600000000000001" thickBot="1" x14ac:dyDescent="0.5">
      <c r="A624" s="97" t="s">
        <v>15</v>
      </c>
      <c r="B624" s="98"/>
      <c r="C624" s="98"/>
      <c r="D624" s="99"/>
      <c r="E624" s="20">
        <f t="shared" ref="E624" si="459">E615+E620+E623</f>
        <v>4958.9738248000003</v>
      </c>
      <c r="F624" s="3"/>
      <c r="G624" s="30"/>
    </row>
    <row r="625" spans="1:9" ht="18.600000000000001" thickBot="1" x14ac:dyDescent="0.5">
      <c r="A625" s="6"/>
      <c r="B625" s="126" t="s">
        <v>16</v>
      </c>
      <c r="C625" s="126"/>
      <c r="D625" s="126"/>
      <c r="E625" s="19">
        <f t="shared" ref="E625" si="460">H616</f>
        <v>2507.4</v>
      </c>
      <c r="F625" s="3"/>
    </row>
    <row r="626" spans="1:9" ht="18.600000000000001" thickBot="1" x14ac:dyDescent="0.5">
      <c r="A626" s="97" t="s">
        <v>17</v>
      </c>
      <c r="B626" s="98"/>
      <c r="C626" s="98"/>
      <c r="D626" s="99"/>
      <c r="E626" s="20">
        <f t="shared" ref="E626" si="461">E625</f>
        <v>2507.4</v>
      </c>
      <c r="F626" s="3"/>
    </row>
    <row r="627" spans="1:9" ht="18.600000000000001" thickBot="1" x14ac:dyDescent="0.5">
      <c r="A627" s="96" t="s">
        <v>18</v>
      </c>
      <c r="B627" s="96"/>
      <c r="C627" s="96"/>
      <c r="D627" s="96"/>
      <c r="E627" s="14">
        <f t="shared" ref="E627" si="462">12*H611</f>
        <v>360</v>
      </c>
      <c r="F627" s="3"/>
    </row>
    <row r="628" spans="1:9" ht="18.600000000000001" thickBot="1" x14ac:dyDescent="0.5">
      <c r="A628" s="3"/>
      <c r="B628" s="3"/>
      <c r="C628" s="3"/>
      <c r="D628" s="3"/>
      <c r="E628" s="3"/>
      <c r="F628" s="3"/>
    </row>
    <row r="629" spans="1:9" ht="18.600000000000001" thickBot="1" x14ac:dyDescent="0.5">
      <c r="A629" s="12" t="s">
        <v>19</v>
      </c>
      <c r="B629" s="12"/>
      <c r="C629" s="12"/>
      <c r="D629" s="12"/>
      <c r="E629" s="15">
        <f t="shared" ref="E629" si="463">-((E626-E624)/E627)</f>
        <v>6.8099272911111122</v>
      </c>
      <c r="F629" s="3" t="s">
        <v>20</v>
      </c>
    </row>
    <row r="630" spans="1:9" x14ac:dyDescent="0.45">
      <c r="A630" s="3"/>
      <c r="B630" s="3"/>
      <c r="C630" s="3"/>
      <c r="D630" s="3"/>
      <c r="E630" s="3"/>
      <c r="F630" s="3"/>
    </row>
    <row r="631" spans="1:9" ht="18.600000000000001" thickBot="1" x14ac:dyDescent="0.5">
      <c r="A631" s="3"/>
      <c r="B631" s="3"/>
      <c r="D631" s="3"/>
      <c r="E631" s="3"/>
      <c r="F631" s="3"/>
    </row>
    <row r="632" spans="1:9" ht="18.600000000000001" thickBot="1" x14ac:dyDescent="0.5">
      <c r="A632" s="10" t="s">
        <v>4</v>
      </c>
      <c r="B632" s="3"/>
      <c r="C632" s="3"/>
      <c r="D632" s="3"/>
      <c r="E632" s="4" t="s">
        <v>1</v>
      </c>
      <c r="F632" s="4"/>
      <c r="G632" s="38" t="s">
        <v>508</v>
      </c>
      <c r="H632" s="42">
        <f t="shared" ref="H632" si="464">H611+1</f>
        <v>31</v>
      </c>
      <c r="I632" t="s">
        <v>509</v>
      </c>
    </row>
    <row r="633" spans="1:9" ht="18.600000000000001" thickBot="1" x14ac:dyDescent="0.5">
      <c r="A633" s="133" t="s">
        <v>5</v>
      </c>
      <c r="B633" s="133"/>
      <c r="C633" s="133"/>
      <c r="D633" s="133"/>
      <c r="E633" s="11" t="s">
        <v>0</v>
      </c>
      <c r="F633" s="3"/>
      <c r="G633" s="36" t="s">
        <v>464</v>
      </c>
      <c r="H633" s="37">
        <f t="shared" ref="H633:H638" si="465">H612</f>
        <v>3980</v>
      </c>
      <c r="I633" t="s">
        <v>465</v>
      </c>
    </row>
    <row r="634" spans="1:9" ht="18.600000000000001" thickBot="1" x14ac:dyDescent="0.5">
      <c r="A634" s="85"/>
      <c r="B634" s="87"/>
      <c r="C634" s="127" t="s">
        <v>3</v>
      </c>
      <c r="D634" s="128"/>
      <c r="E634" s="29">
        <f t="shared" ref="E634" si="466">IF(H636="",0,H636)</f>
        <v>0</v>
      </c>
      <c r="F634" s="3"/>
      <c r="G634" s="25" t="s">
        <v>466</v>
      </c>
      <c r="H634" s="43">
        <f t="shared" si="465"/>
        <v>0.65</v>
      </c>
      <c r="I634" t="s">
        <v>469</v>
      </c>
    </row>
    <row r="635" spans="1:9" ht="18.600000000000001" thickBot="1" x14ac:dyDescent="0.5">
      <c r="A635" s="86"/>
      <c r="B635" s="88"/>
      <c r="C635" s="127" t="s">
        <v>6</v>
      </c>
      <c r="D635" s="128"/>
      <c r="E635" s="19">
        <f>IF(H639="",$H$7*0.06,H639)</f>
        <v>238.79999999999998</v>
      </c>
      <c r="F635" s="3"/>
      <c r="G635" s="25" t="s">
        <v>467</v>
      </c>
      <c r="H635" s="37">
        <f t="shared" si="465"/>
        <v>35</v>
      </c>
      <c r="I635" t="s">
        <v>468</v>
      </c>
    </row>
    <row r="636" spans="1:9" ht="18.600000000000001" thickBot="1" x14ac:dyDescent="0.5">
      <c r="A636" s="86"/>
      <c r="B636" s="91" t="s">
        <v>7</v>
      </c>
      <c r="C636" s="92"/>
      <c r="D636" s="92"/>
      <c r="E636" s="19">
        <f t="shared" ref="E636" si="467">SUM(E634:E635)</f>
        <v>238.79999999999998</v>
      </c>
      <c r="F636" s="3"/>
      <c r="G636" s="28" t="s">
        <v>3</v>
      </c>
      <c r="H636" s="37">
        <f t="shared" si="465"/>
        <v>0</v>
      </c>
      <c r="I636" t="s">
        <v>465</v>
      </c>
    </row>
    <row r="637" spans="1:9" ht="18.600000000000001" thickBot="1" x14ac:dyDescent="0.5">
      <c r="A637" s="86"/>
      <c r="B637" s="7"/>
      <c r="C637" s="5" t="s">
        <v>8</v>
      </c>
      <c r="D637" s="5"/>
      <c r="E637" s="49">
        <f>_xlfn.SWITCH(H632,1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3942.2328000000002</v>
      </c>
      <c r="F637" s="3"/>
      <c r="G637" s="28" t="s">
        <v>16</v>
      </c>
      <c r="H637" s="37">
        <f>真実の家賃!$I$8*AD33</f>
        <v>2507.4</v>
      </c>
      <c r="I637" t="s">
        <v>465</v>
      </c>
    </row>
    <row r="638" spans="1:9" ht="18.600000000000001" thickBot="1" x14ac:dyDescent="0.5">
      <c r="A638" s="86"/>
      <c r="B638" s="8"/>
      <c r="C638" s="127" t="s">
        <v>2</v>
      </c>
      <c r="D638" s="128"/>
      <c r="E638" s="19">
        <f t="shared" ref="E638" si="468">IF(H640="",H632*15,H640)</f>
        <v>465</v>
      </c>
      <c r="F638" s="3"/>
      <c r="G638" s="56" t="s">
        <v>573</v>
      </c>
      <c r="H638" s="40" t="str">
        <f t="shared" si="465"/>
        <v/>
      </c>
      <c r="I638" t="s">
        <v>465</v>
      </c>
    </row>
    <row r="639" spans="1:9" ht="18.600000000000001" thickBot="1" x14ac:dyDescent="0.5">
      <c r="A639" s="86"/>
      <c r="B639" s="8"/>
      <c r="C639" s="129" t="s">
        <v>9</v>
      </c>
      <c r="D639" s="129"/>
      <c r="E639" s="19">
        <f t="shared" ref="E639" si="469">_xlfn.SWITCH(H632,1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639" s="3"/>
      <c r="G639" s="34" t="s">
        <v>6</v>
      </c>
      <c r="H639" s="40" t="str">
        <f t="shared" si="433"/>
        <v/>
      </c>
      <c r="I639" t="s">
        <v>465</v>
      </c>
    </row>
    <row r="640" spans="1:9" ht="18.600000000000001" thickBot="1" x14ac:dyDescent="0.5">
      <c r="A640" s="86"/>
      <c r="B640" s="8"/>
      <c r="C640" s="130" t="s">
        <v>10</v>
      </c>
      <c r="D640" s="131"/>
      <c r="E640" s="19">
        <f t="shared" ref="E640" si="470">IF(H638="",$AA$3,H632*H638)</f>
        <v>0</v>
      </c>
      <c r="F640" s="3"/>
      <c r="G640" s="28" t="s">
        <v>560</v>
      </c>
      <c r="H640" s="40" t="str">
        <f t="shared" si="433"/>
        <v/>
      </c>
      <c r="I640" t="s">
        <v>465</v>
      </c>
    </row>
    <row r="641" spans="1:9" ht="18.600000000000001" thickBot="1" x14ac:dyDescent="0.5">
      <c r="A641" s="86"/>
      <c r="B641" s="132" t="s">
        <v>11</v>
      </c>
      <c r="C641" s="126"/>
      <c r="D641" s="126"/>
      <c r="E641" s="19">
        <f t="shared" ref="E641" si="471">SUM(E637:E640)</f>
        <v>4111.4915247999998</v>
      </c>
      <c r="F641" s="3"/>
      <c r="G641" s="33" t="s">
        <v>561</v>
      </c>
      <c r="H641" s="41" t="str">
        <f t="shared" si="433"/>
        <v/>
      </c>
      <c r="I641" t="s">
        <v>465</v>
      </c>
    </row>
    <row r="642" spans="1:9" ht="18.600000000000001" thickBot="1" x14ac:dyDescent="0.5">
      <c r="A642" s="86"/>
      <c r="B642" s="7"/>
      <c r="C642" s="127" t="s">
        <v>12</v>
      </c>
      <c r="D642" s="128"/>
      <c r="E642" s="19">
        <f t="shared" ref="E642" si="472">_xlfn.SWITCH(H632,1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502.00990000000002</v>
      </c>
      <c r="F642" s="3"/>
      <c r="G642" s="32"/>
    </row>
    <row r="643" spans="1:9" ht="18.600000000000001" thickBot="1" x14ac:dyDescent="0.5">
      <c r="A643" s="86"/>
      <c r="B643" s="8"/>
      <c r="C643" s="127" t="s">
        <v>13</v>
      </c>
      <c r="D643" s="128"/>
      <c r="E643" s="19">
        <f t="shared" ref="E643" si="473">IF(H641="",H637*0.05,H641)</f>
        <v>125.37</v>
      </c>
      <c r="F643" s="3"/>
      <c r="G643" s="30"/>
    </row>
    <row r="644" spans="1:9" ht="18.600000000000001" thickBot="1" x14ac:dyDescent="0.5">
      <c r="A644" s="86"/>
      <c r="B644" s="132" t="s">
        <v>14</v>
      </c>
      <c r="C644" s="126"/>
      <c r="D644" s="126"/>
      <c r="E644" s="19">
        <f t="shared" ref="E644" si="474">SUM(E642:E643)</f>
        <v>627.37990000000002</v>
      </c>
      <c r="F644" s="3"/>
      <c r="G644" s="30"/>
    </row>
    <row r="645" spans="1:9" ht="18.600000000000001" thickBot="1" x14ac:dyDescent="0.5">
      <c r="A645" s="97" t="s">
        <v>15</v>
      </c>
      <c r="B645" s="98"/>
      <c r="C645" s="98"/>
      <c r="D645" s="99"/>
      <c r="E645" s="20">
        <f t="shared" ref="E645" si="475">E636+E641+E644</f>
        <v>4977.6714247999998</v>
      </c>
      <c r="F645" s="3"/>
      <c r="G645" s="30"/>
    </row>
    <row r="646" spans="1:9" ht="18.600000000000001" thickBot="1" x14ac:dyDescent="0.5">
      <c r="A646" s="6"/>
      <c r="B646" s="126" t="s">
        <v>16</v>
      </c>
      <c r="C646" s="126"/>
      <c r="D646" s="126"/>
      <c r="E646" s="19">
        <f t="shared" ref="E646" si="476">H637</f>
        <v>2507.4</v>
      </c>
      <c r="F646" s="3"/>
    </row>
    <row r="647" spans="1:9" ht="18.600000000000001" thickBot="1" x14ac:dyDescent="0.5">
      <c r="A647" s="97" t="s">
        <v>17</v>
      </c>
      <c r="B647" s="98"/>
      <c r="C647" s="98"/>
      <c r="D647" s="99"/>
      <c r="E647" s="20">
        <f t="shared" ref="E647" si="477">E646</f>
        <v>2507.4</v>
      </c>
      <c r="F647" s="3"/>
    </row>
    <row r="648" spans="1:9" ht="18.600000000000001" thickBot="1" x14ac:dyDescent="0.5">
      <c r="A648" s="96" t="s">
        <v>18</v>
      </c>
      <c r="B648" s="96"/>
      <c r="C648" s="96"/>
      <c r="D648" s="96"/>
      <c r="E648" s="14">
        <f t="shared" ref="E648" si="478">12*H632</f>
        <v>372</v>
      </c>
      <c r="F648" s="3"/>
    </row>
    <row r="649" spans="1:9" ht="18.600000000000001" thickBot="1" x14ac:dyDescent="0.5">
      <c r="A649" s="3"/>
      <c r="B649" s="3"/>
      <c r="C649" s="3"/>
      <c r="D649" s="3"/>
      <c r="E649" s="3"/>
      <c r="F649" s="3"/>
    </row>
    <row r="650" spans="1:9" ht="18.600000000000001" thickBot="1" x14ac:dyDescent="0.5">
      <c r="A650" s="12" t="s">
        <v>19</v>
      </c>
      <c r="B650" s="12"/>
      <c r="C650" s="12"/>
      <c r="D650" s="12"/>
      <c r="E650" s="15">
        <f t="shared" ref="E650" si="479">-((E647-E645)/E648)</f>
        <v>6.6405145827956984</v>
      </c>
      <c r="F650" s="3" t="s">
        <v>20</v>
      </c>
    </row>
    <row r="651" spans="1:9" x14ac:dyDescent="0.45">
      <c r="A651" s="3"/>
      <c r="B651" s="3"/>
      <c r="C651" s="3"/>
      <c r="D651" s="3"/>
      <c r="E651" s="3"/>
      <c r="F651" s="3"/>
    </row>
    <row r="652" spans="1:9" ht="18.600000000000001" thickBot="1" x14ac:dyDescent="0.5">
      <c r="A652" s="3"/>
      <c r="B652" s="3"/>
      <c r="D652" s="3"/>
      <c r="E652" s="3"/>
      <c r="F652" s="3"/>
    </row>
    <row r="653" spans="1:9" ht="18.600000000000001" thickBot="1" x14ac:dyDescent="0.5">
      <c r="A653" s="10" t="s">
        <v>4</v>
      </c>
      <c r="B653" s="3"/>
      <c r="C653" s="3"/>
      <c r="D653" s="3"/>
      <c r="E653" s="4" t="s">
        <v>1</v>
      </c>
      <c r="F653" s="4"/>
      <c r="G653" s="38" t="s">
        <v>508</v>
      </c>
      <c r="H653" s="42">
        <f t="shared" ref="H653" si="480">H632+1</f>
        <v>32</v>
      </c>
      <c r="I653" t="s">
        <v>509</v>
      </c>
    </row>
    <row r="654" spans="1:9" ht="18.600000000000001" thickBot="1" x14ac:dyDescent="0.5">
      <c r="A654" s="133" t="s">
        <v>5</v>
      </c>
      <c r="B654" s="133"/>
      <c r="C654" s="133"/>
      <c r="D654" s="133"/>
      <c r="E654" s="11" t="s">
        <v>0</v>
      </c>
      <c r="F654" s="3"/>
      <c r="G654" s="36" t="s">
        <v>464</v>
      </c>
      <c r="H654" s="37">
        <f t="shared" ref="H654:H704" si="481">H633</f>
        <v>3980</v>
      </c>
      <c r="I654" t="s">
        <v>465</v>
      </c>
    </row>
    <row r="655" spans="1:9" ht="18.600000000000001" thickBot="1" x14ac:dyDescent="0.5">
      <c r="A655" s="85"/>
      <c r="B655" s="87"/>
      <c r="C655" s="127" t="s">
        <v>3</v>
      </c>
      <c r="D655" s="128"/>
      <c r="E655" s="29">
        <f t="shared" ref="E655" si="482">IF(H657="",0,H657)</f>
        <v>0</v>
      </c>
      <c r="F655" s="3"/>
      <c r="G655" s="25" t="s">
        <v>466</v>
      </c>
      <c r="H655" s="43">
        <f t="shared" si="481"/>
        <v>0.65</v>
      </c>
      <c r="I655" t="s">
        <v>469</v>
      </c>
    </row>
    <row r="656" spans="1:9" ht="18.600000000000001" thickBot="1" x14ac:dyDescent="0.5">
      <c r="A656" s="86"/>
      <c r="B656" s="88"/>
      <c r="C656" s="127" t="s">
        <v>6</v>
      </c>
      <c r="D656" s="128"/>
      <c r="E656" s="19">
        <f>IF(H660="",$H$7*0.06,H660)</f>
        <v>238.79999999999998</v>
      </c>
      <c r="F656" s="3"/>
      <c r="G656" s="25" t="s">
        <v>467</v>
      </c>
      <c r="H656" s="37">
        <f t="shared" si="481"/>
        <v>35</v>
      </c>
      <c r="I656" t="s">
        <v>468</v>
      </c>
    </row>
    <row r="657" spans="1:9" ht="18.600000000000001" thickBot="1" x14ac:dyDescent="0.5">
      <c r="A657" s="86"/>
      <c r="B657" s="91" t="s">
        <v>7</v>
      </c>
      <c r="C657" s="92"/>
      <c r="D657" s="92"/>
      <c r="E657" s="19">
        <f t="shared" ref="E657" si="483">SUM(E655:E656)</f>
        <v>238.79999999999998</v>
      </c>
      <c r="F657" s="3"/>
      <c r="G657" s="28" t="s">
        <v>3</v>
      </c>
      <c r="H657" s="37">
        <f t="shared" si="481"/>
        <v>0</v>
      </c>
      <c r="I657" t="s">
        <v>465</v>
      </c>
    </row>
    <row r="658" spans="1:9" ht="18.600000000000001" thickBot="1" x14ac:dyDescent="0.5">
      <c r="A658" s="86"/>
      <c r="B658" s="7"/>
      <c r="C658" s="5" t="s">
        <v>8</v>
      </c>
      <c r="D658" s="5"/>
      <c r="E658" s="49">
        <f>_xlfn.SWITCH(H653,1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4069.4016000000001</v>
      </c>
      <c r="F658" s="3"/>
      <c r="G658" s="28" t="s">
        <v>16</v>
      </c>
      <c r="H658" s="37">
        <f>真実の家賃!$I$8*AD34</f>
        <v>2507.4</v>
      </c>
      <c r="I658" t="s">
        <v>465</v>
      </c>
    </row>
    <row r="659" spans="1:9" ht="18.600000000000001" thickBot="1" x14ac:dyDescent="0.5">
      <c r="A659" s="86"/>
      <c r="B659" s="8"/>
      <c r="C659" s="127" t="s">
        <v>2</v>
      </c>
      <c r="D659" s="128"/>
      <c r="E659" s="19">
        <f t="shared" ref="E659" si="484">IF(H661="",H653*15,H661)</f>
        <v>480</v>
      </c>
      <c r="F659" s="3"/>
      <c r="G659" s="56" t="s">
        <v>573</v>
      </c>
      <c r="H659" s="40" t="str">
        <f t="shared" si="481"/>
        <v/>
      </c>
      <c r="I659" t="s">
        <v>465</v>
      </c>
    </row>
    <row r="660" spans="1:9" ht="18.600000000000001" thickBot="1" x14ac:dyDescent="0.5">
      <c r="A660" s="86"/>
      <c r="B660" s="8"/>
      <c r="C660" s="129" t="s">
        <v>9</v>
      </c>
      <c r="D660" s="129"/>
      <c r="E660" s="19">
        <f t="shared" ref="E660" si="485">_xlfn.SWITCH(H653,1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660" s="3"/>
      <c r="G660" s="34" t="s">
        <v>6</v>
      </c>
      <c r="H660" s="40" t="str">
        <f t="shared" si="481"/>
        <v/>
      </c>
      <c r="I660" t="s">
        <v>465</v>
      </c>
    </row>
    <row r="661" spans="1:9" ht="18.600000000000001" thickBot="1" x14ac:dyDescent="0.5">
      <c r="A661" s="86"/>
      <c r="B661" s="8"/>
      <c r="C661" s="130" t="s">
        <v>10</v>
      </c>
      <c r="D661" s="131"/>
      <c r="E661" s="19">
        <f t="shared" ref="E661" si="486">IF(H659="",$AA$3,H653*H659)</f>
        <v>0</v>
      </c>
      <c r="F661" s="3"/>
      <c r="G661" s="28" t="s">
        <v>560</v>
      </c>
      <c r="H661" s="40" t="str">
        <f t="shared" si="481"/>
        <v/>
      </c>
      <c r="I661" t="s">
        <v>465</v>
      </c>
    </row>
    <row r="662" spans="1:9" ht="18.600000000000001" thickBot="1" x14ac:dyDescent="0.5">
      <c r="A662" s="86"/>
      <c r="B662" s="132" t="s">
        <v>11</v>
      </c>
      <c r="C662" s="126"/>
      <c r="D662" s="126"/>
      <c r="E662" s="19">
        <f t="shared" ref="E662" si="487">SUM(E658:E661)</f>
        <v>4253.6603248000001</v>
      </c>
      <c r="F662" s="3"/>
      <c r="G662" s="33" t="s">
        <v>561</v>
      </c>
      <c r="H662" s="41" t="str">
        <f t="shared" si="481"/>
        <v/>
      </c>
      <c r="I662" t="s">
        <v>465</v>
      </c>
    </row>
    <row r="663" spans="1:9" ht="18.600000000000001" thickBot="1" x14ac:dyDescent="0.5">
      <c r="A663" s="86"/>
      <c r="B663" s="7"/>
      <c r="C663" s="127" t="s">
        <v>12</v>
      </c>
      <c r="D663" s="128"/>
      <c r="E663" s="19">
        <f t="shared" ref="E663" si="488">_xlfn.SWITCH(H653,1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377.73390000000001</v>
      </c>
      <c r="F663" s="3"/>
      <c r="G663" s="32"/>
    </row>
    <row r="664" spans="1:9" ht="18.600000000000001" thickBot="1" x14ac:dyDescent="0.5">
      <c r="A664" s="86"/>
      <c r="B664" s="8"/>
      <c r="C664" s="127" t="s">
        <v>13</v>
      </c>
      <c r="D664" s="128"/>
      <c r="E664" s="19">
        <f t="shared" ref="E664" si="489">IF(H662="",H658*0.05,H662)</f>
        <v>125.37</v>
      </c>
      <c r="F664" s="3"/>
      <c r="G664" s="30"/>
    </row>
    <row r="665" spans="1:9" ht="18.600000000000001" thickBot="1" x14ac:dyDescent="0.5">
      <c r="A665" s="86"/>
      <c r="B665" s="132" t="s">
        <v>14</v>
      </c>
      <c r="C665" s="126"/>
      <c r="D665" s="126"/>
      <c r="E665" s="19">
        <f t="shared" ref="E665" si="490">SUM(E663:E664)</f>
        <v>503.10390000000001</v>
      </c>
      <c r="F665" s="3"/>
      <c r="G665" s="30"/>
    </row>
    <row r="666" spans="1:9" ht="18.600000000000001" thickBot="1" x14ac:dyDescent="0.5">
      <c r="A666" s="97" t="s">
        <v>15</v>
      </c>
      <c r="B666" s="98"/>
      <c r="C666" s="98"/>
      <c r="D666" s="99"/>
      <c r="E666" s="20">
        <f t="shared" ref="E666" si="491">E657+E662+E665</f>
        <v>4995.5642248000004</v>
      </c>
      <c r="F666" s="3"/>
      <c r="G666" s="30"/>
    </row>
    <row r="667" spans="1:9" ht="18.600000000000001" thickBot="1" x14ac:dyDescent="0.5">
      <c r="A667" s="6"/>
      <c r="B667" s="126" t="s">
        <v>16</v>
      </c>
      <c r="C667" s="126"/>
      <c r="D667" s="126"/>
      <c r="E667" s="19">
        <f t="shared" ref="E667" si="492">H658</f>
        <v>2507.4</v>
      </c>
      <c r="F667" s="3"/>
    </row>
    <row r="668" spans="1:9" ht="18.600000000000001" thickBot="1" x14ac:dyDescent="0.5">
      <c r="A668" s="97" t="s">
        <v>17</v>
      </c>
      <c r="B668" s="98"/>
      <c r="C668" s="98"/>
      <c r="D668" s="99"/>
      <c r="E668" s="20">
        <f t="shared" ref="E668" si="493">E667</f>
        <v>2507.4</v>
      </c>
      <c r="F668" s="3"/>
    </row>
    <row r="669" spans="1:9" ht="18.600000000000001" thickBot="1" x14ac:dyDescent="0.5">
      <c r="A669" s="96" t="s">
        <v>18</v>
      </c>
      <c r="B669" s="96"/>
      <c r="C669" s="96"/>
      <c r="D669" s="96"/>
      <c r="E669" s="14">
        <f t="shared" ref="E669" si="494">12*H653</f>
        <v>384</v>
      </c>
      <c r="F669" s="3"/>
    </row>
    <row r="670" spans="1:9" ht="18.600000000000001" thickBot="1" x14ac:dyDescent="0.5">
      <c r="A670" s="3"/>
      <c r="B670" s="3"/>
      <c r="C670" s="3"/>
      <c r="D670" s="3"/>
      <c r="E670" s="3"/>
      <c r="F670" s="3"/>
    </row>
    <row r="671" spans="1:9" ht="18.600000000000001" thickBot="1" x14ac:dyDescent="0.5">
      <c r="A671" s="12" t="s">
        <v>19</v>
      </c>
      <c r="B671" s="12"/>
      <c r="C671" s="12"/>
      <c r="D671" s="12"/>
      <c r="E671" s="15">
        <f t="shared" ref="E671" si="495">-((E668-E666)/E669)</f>
        <v>6.4795943354166674</v>
      </c>
      <c r="F671" s="3" t="s">
        <v>20</v>
      </c>
    </row>
    <row r="672" spans="1:9" x14ac:dyDescent="0.45">
      <c r="A672" s="3"/>
      <c r="B672" s="3"/>
      <c r="C672" s="3"/>
      <c r="D672" s="3"/>
      <c r="E672" s="3"/>
      <c r="F672" s="3"/>
    </row>
    <row r="673" spans="1:9" ht="18.600000000000001" thickBot="1" x14ac:dyDescent="0.5">
      <c r="A673" s="3"/>
      <c r="B673" s="3"/>
      <c r="D673" s="3"/>
      <c r="E673" s="3"/>
      <c r="F673" s="3"/>
    </row>
    <row r="674" spans="1:9" ht="18.600000000000001" thickBot="1" x14ac:dyDescent="0.5">
      <c r="A674" s="10" t="s">
        <v>4</v>
      </c>
      <c r="B674" s="3"/>
      <c r="C674" s="3"/>
      <c r="D674" s="3"/>
      <c r="E674" s="4" t="s">
        <v>1</v>
      </c>
      <c r="F674" s="4"/>
      <c r="G674" s="38" t="s">
        <v>508</v>
      </c>
      <c r="H674" s="42">
        <f t="shared" ref="H674" si="496">H653+1</f>
        <v>33</v>
      </c>
      <c r="I674" t="s">
        <v>509</v>
      </c>
    </row>
    <row r="675" spans="1:9" ht="18.600000000000001" thickBot="1" x14ac:dyDescent="0.5">
      <c r="A675" s="133" t="s">
        <v>5</v>
      </c>
      <c r="B675" s="133"/>
      <c r="C675" s="133"/>
      <c r="D675" s="133"/>
      <c r="E675" s="11" t="s">
        <v>0</v>
      </c>
      <c r="F675" s="3"/>
      <c r="G675" s="36" t="s">
        <v>464</v>
      </c>
      <c r="H675" s="37">
        <f t="shared" ref="H675:H725" si="497">H654</f>
        <v>3980</v>
      </c>
      <c r="I675" t="s">
        <v>465</v>
      </c>
    </row>
    <row r="676" spans="1:9" ht="18.600000000000001" thickBot="1" x14ac:dyDescent="0.5">
      <c r="A676" s="85"/>
      <c r="B676" s="87"/>
      <c r="C676" s="127" t="s">
        <v>3</v>
      </c>
      <c r="D676" s="128"/>
      <c r="E676" s="29">
        <f t="shared" ref="E676" si="498">IF(H678="",0,H678)</f>
        <v>0</v>
      </c>
      <c r="F676" s="3"/>
      <c r="G676" s="25" t="s">
        <v>466</v>
      </c>
      <c r="H676" s="43">
        <f t="shared" si="497"/>
        <v>0.65</v>
      </c>
      <c r="I676" t="s">
        <v>469</v>
      </c>
    </row>
    <row r="677" spans="1:9" ht="18.600000000000001" thickBot="1" x14ac:dyDescent="0.5">
      <c r="A677" s="86"/>
      <c r="B677" s="88"/>
      <c r="C677" s="127" t="s">
        <v>6</v>
      </c>
      <c r="D677" s="128"/>
      <c r="E677" s="19">
        <f>IF(H681="",$H$7*0.06,H681)</f>
        <v>238.79999999999998</v>
      </c>
      <c r="F677" s="3"/>
      <c r="G677" s="25" t="s">
        <v>467</v>
      </c>
      <c r="H677" s="37">
        <f t="shared" si="497"/>
        <v>35</v>
      </c>
      <c r="I677" t="s">
        <v>468</v>
      </c>
    </row>
    <row r="678" spans="1:9" ht="18.600000000000001" thickBot="1" x14ac:dyDescent="0.5">
      <c r="A678" s="86"/>
      <c r="B678" s="91" t="s">
        <v>7</v>
      </c>
      <c r="C678" s="92"/>
      <c r="D678" s="92"/>
      <c r="E678" s="19">
        <f t="shared" ref="E678" si="499">SUM(E676:E677)</f>
        <v>238.79999999999998</v>
      </c>
      <c r="F678" s="3"/>
      <c r="G678" s="28" t="s">
        <v>3</v>
      </c>
      <c r="H678" s="37">
        <f t="shared" si="497"/>
        <v>0</v>
      </c>
      <c r="I678" t="s">
        <v>465</v>
      </c>
    </row>
    <row r="679" spans="1:9" ht="18.600000000000001" thickBot="1" x14ac:dyDescent="0.5">
      <c r="A679" s="86"/>
      <c r="B679" s="7"/>
      <c r="C679" s="5" t="s">
        <v>8</v>
      </c>
      <c r="D679" s="5"/>
      <c r="E679" s="49">
        <f>_xlfn.SWITCH(H674,1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4196.5703999999996</v>
      </c>
      <c r="F679" s="3"/>
      <c r="G679" s="28" t="s">
        <v>16</v>
      </c>
      <c r="H679" s="37">
        <f>真実の家賃!$I$8*AD35</f>
        <v>2507.4</v>
      </c>
      <c r="I679" t="s">
        <v>465</v>
      </c>
    </row>
    <row r="680" spans="1:9" ht="18.600000000000001" thickBot="1" x14ac:dyDescent="0.5">
      <c r="A680" s="86"/>
      <c r="B680" s="8"/>
      <c r="C680" s="127" t="s">
        <v>2</v>
      </c>
      <c r="D680" s="128"/>
      <c r="E680" s="19">
        <f t="shared" ref="E680" si="500">IF(H682="",H674*15,H682)</f>
        <v>495</v>
      </c>
      <c r="F680" s="3"/>
      <c r="G680" s="56" t="s">
        <v>573</v>
      </c>
      <c r="H680" s="40" t="str">
        <f t="shared" si="497"/>
        <v/>
      </c>
      <c r="I680" t="s">
        <v>465</v>
      </c>
    </row>
    <row r="681" spans="1:9" ht="18.600000000000001" thickBot="1" x14ac:dyDescent="0.5">
      <c r="A681" s="86"/>
      <c r="B681" s="8"/>
      <c r="C681" s="129" t="s">
        <v>9</v>
      </c>
      <c r="D681" s="129"/>
      <c r="E681" s="19">
        <f t="shared" ref="E681" si="501">_xlfn.SWITCH(H674,1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681" s="3"/>
      <c r="G681" s="34" t="s">
        <v>6</v>
      </c>
      <c r="H681" s="40" t="str">
        <f t="shared" si="497"/>
        <v/>
      </c>
      <c r="I681" t="s">
        <v>465</v>
      </c>
    </row>
    <row r="682" spans="1:9" ht="18.600000000000001" thickBot="1" x14ac:dyDescent="0.5">
      <c r="A682" s="86"/>
      <c r="B682" s="8"/>
      <c r="C682" s="130" t="s">
        <v>10</v>
      </c>
      <c r="D682" s="131"/>
      <c r="E682" s="19">
        <f t="shared" ref="E682" si="502">IF(H680="",$AA$3,H674*H680)</f>
        <v>0</v>
      </c>
      <c r="F682" s="3"/>
      <c r="G682" s="28" t="s">
        <v>560</v>
      </c>
      <c r="H682" s="40" t="str">
        <f t="shared" si="497"/>
        <v/>
      </c>
      <c r="I682" t="s">
        <v>465</v>
      </c>
    </row>
    <row r="683" spans="1:9" ht="18.600000000000001" thickBot="1" x14ac:dyDescent="0.5">
      <c r="A683" s="86"/>
      <c r="B683" s="132" t="s">
        <v>11</v>
      </c>
      <c r="C683" s="126"/>
      <c r="D683" s="126"/>
      <c r="E683" s="19">
        <f t="shared" ref="E683" si="503">SUM(E679:E682)</f>
        <v>4395.8291247999996</v>
      </c>
      <c r="F683" s="3"/>
      <c r="G683" s="33" t="s">
        <v>561</v>
      </c>
      <c r="H683" s="41" t="str">
        <f t="shared" si="497"/>
        <v/>
      </c>
      <c r="I683" t="s">
        <v>465</v>
      </c>
    </row>
    <row r="684" spans="1:9" ht="18.600000000000001" thickBot="1" x14ac:dyDescent="0.5">
      <c r="A684" s="86"/>
      <c r="B684" s="7"/>
      <c r="C684" s="127" t="s">
        <v>12</v>
      </c>
      <c r="D684" s="128"/>
      <c r="E684" s="19">
        <f t="shared" ref="E684" si="504">_xlfn.SWITCH(H674,1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252.64760000000001</v>
      </c>
      <c r="F684" s="3"/>
      <c r="G684" s="32"/>
    </row>
    <row r="685" spans="1:9" ht="18.600000000000001" thickBot="1" x14ac:dyDescent="0.5">
      <c r="A685" s="86"/>
      <c r="B685" s="8"/>
      <c r="C685" s="127" t="s">
        <v>13</v>
      </c>
      <c r="D685" s="128"/>
      <c r="E685" s="19">
        <f t="shared" ref="E685" si="505">IF(H683="",H679*0.05,H683)</f>
        <v>125.37</v>
      </c>
      <c r="F685" s="3"/>
      <c r="G685" s="30"/>
    </row>
    <row r="686" spans="1:9" ht="18.600000000000001" thickBot="1" x14ac:dyDescent="0.5">
      <c r="A686" s="86"/>
      <c r="B686" s="132" t="s">
        <v>14</v>
      </c>
      <c r="C686" s="126"/>
      <c r="D686" s="126"/>
      <c r="E686" s="19">
        <f t="shared" ref="E686" si="506">SUM(E684:E685)</f>
        <v>378.01760000000002</v>
      </c>
      <c r="F686" s="3"/>
      <c r="G686" s="30"/>
    </row>
    <row r="687" spans="1:9" ht="18.600000000000001" thickBot="1" x14ac:dyDescent="0.5">
      <c r="A687" s="97" t="s">
        <v>15</v>
      </c>
      <c r="B687" s="98"/>
      <c r="C687" s="98"/>
      <c r="D687" s="99"/>
      <c r="E687" s="20">
        <f t="shared" ref="E687" si="507">E678+E683+E686</f>
        <v>5012.6467247999999</v>
      </c>
      <c r="F687" s="3"/>
      <c r="G687" s="30"/>
    </row>
    <row r="688" spans="1:9" ht="18.600000000000001" thickBot="1" x14ac:dyDescent="0.5">
      <c r="A688" s="6"/>
      <c r="B688" s="126" t="s">
        <v>16</v>
      </c>
      <c r="C688" s="126"/>
      <c r="D688" s="126"/>
      <c r="E688" s="19">
        <f t="shared" ref="E688" si="508">H679</f>
        <v>2507.4</v>
      </c>
      <c r="F688" s="3"/>
    </row>
    <row r="689" spans="1:9" ht="18.600000000000001" thickBot="1" x14ac:dyDescent="0.5">
      <c r="A689" s="97" t="s">
        <v>17</v>
      </c>
      <c r="B689" s="98"/>
      <c r="C689" s="98"/>
      <c r="D689" s="99"/>
      <c r="E689" s="20">
        <f t="shared" ref="E689" si="509">E688</f>
        <v>2507.4</v>
      </c>
      <c r="F689" s="3"/>
    </row>
    <row r="690" spans="1:9" ht="18.600000000000001" thickBot="1" x14ac:dyDescent="0.5">
      <c r="A690" s="96" t="s">
        <v>18</v>
      </c>
      <c r="B690" s="96"/>
      <c r="C690" s="96"/>
      <c r="D690" s="96"/>
      <c r="E690" s="14">
        <f t="shared" ref="E690" si="510">12*H674</f>
        <v>396</v>
      </c>
      <c r="F690" s="3"/>
    </row>
    <row r="691" spans="1:9" ht="18.600000000000001" thickBot="1" x14ac:dyDescent="0.5">
      <c r="A691" s="3"/>
      <c r="B691" s="3"/>
      <c r="C691" s="3"/>
      <c r="D691" s="3"/>
      <c r="E691" s="3"/>
      <c r="F691" s="3"/>
    </row>
    <row r="692" spans="1:9" ht="18.600000000000001" thickBot="1" x14ac:dyDescent="0.5">
      <c r="A692" s="12" t="s">
        <v>19</v>
      </c>
      <c r="B692" s="12"/>
      <c r="C692" s="12"/>
      <c r="D692" s="12"/>
      <c r="E692" s="15">
        <f t="shared" ref="E692" si="511">-((E689-E687)/E690)</f>
        <v>6.3263806181818181</v>
      </c>
      <c r="F692" s="3" t="s">
        <v>20</v>
      </c>
    </row>
    <row r="693" spans="1:9" x14ac:dyDescent="0.45">
      <c r="A693" s="3"/>
      <c r="B693" s="3"/>
      <c r="C693" s="3"/>
      <c r="D693" s="3"/>
      <c r="E693" s="3"/>
      <c r="F693" s="3"/>
    </row>
    <row r="694" spans="1:9" ht="18.600000000000001" thickBot="1" x14ac:dyDescent="0.5">
      <c r="A694" s="3"/>
      <c r="B694" s="3"/>
      <c r="D694" s="3"/>
      <c r="E694" s="3"/>
      <c r="F694" s="3"/>
    </row>
    <row r="695" spans="1:9" ht="18.600000000000001" thickBot="1" x14ac:dyDescent="0.5">
      <c r="A695" s="10" t="s">
        <v>4</v>
      </c>
      <c r="B695" s="3"/>
      <c r="C695" s="3"/>
      <c r="D695" s="3"/>
      <c r="E695" s="4" t="s">
        <v>1</v>
      </c>
      <c r="F695" s="4"/>
      <c r="G695" s="38" t="s">
        <v>508</v>
      </c>
      <c r="H695" s="42">
        <f t="shared" ref="H695" si="512">H674+1</f>
        <v>34</v>
      </c>
      <c r="I695" t="s">
        <v>509</v>
      </c>
    </row>
    <row r="696" spans="1:9" ht="18.600000000000001" thickBot="1" x14ac:dyDescent="0.5">
      <c r="A696" s="133" t="s">
        <v>5</v>
      </c>
      <c r="B696" s="133"/>
      <c r="C696" s="133"/>
      <c r="D696" s="133"/>
      <c r="E696" s="11" t="s">
        <v>0</v>
      </c>
      <c r="F696" s="3"/>
      <c r="G696" s="36" t="s">
        <v>464</v>
      </c>
      <c r="H696" s="37">
        <f t="shared" ref="H696:H701" si="513">H675</f>
        <v>3980</v>
      </c>
      <c r="I696" t="s">
        <v>465</v>
      </c>
    </row>
    <row r="697" spans="1:9" ht="18.600000000000001" thickBot="1" x14ac:dyDescent="0.5">
      <c r="A697" s="85"/>
      <c r="B697" s="87"/>
      <c r="C697" s="127" t="s">
        <v>3</v>
      </c>
      <c r="D697" s="128"/>
      <c r="E697" s="29">
        <f t="shared" ref="E697" si="514">IF(H699="",0,H699)</f>
        <v>0</v>
      </c>
      <c r="F697" s="3"/>
      <c r="G697" s="25" t="s">
        <v>466</v>
      </c>
      <c r="H697" s="43">
        <f t="shared" si="513"/>
        <v>0.65</v>
      </c>
      <c r="I697" t="s">
        <v>469</v>
      </c>
    </row>
    <row r="698" spans="1:9" ht="18.600000000000001" thickBot="1" x14ac:dyDescent="0.5">
      <c r="A698" s="86"/>
      <c r="B698" s="88"/>
      <c r="C698" s="127" t="s">
        <v>6</v>
      </c>
      <c r="D698" s="128"/>
      <c r="E698" s="19">
        <f>IF(H702="",$H$7*0.06,H702)</f>
        <v>238.79999999999998</v>
      </c>
      <c r="F698" s="3"/>
      <c r="G698" s="25" t="s">
        <v>467</v>
      </c>
      <c r="H698" s="37">
        <f t="shared" si="513"/>
        <v>35</v>
      </c>
      <c r="I698" t="s">
        <v>468</v>
      </c>
    </row>
    <row r="699" spans="1:9" ht="18.600000000000001" thickBot="1" x14ac:dyDescent="0.5">
      <c r="A699" s="86"/>
      <c r="B699" s="91" t="s">
        <v>7</v>
      </c>
      <c r="C699" s="92"/>
      <c r="D699" s="92"/>
      <c r="E699" s="19">
        <f t="shared" ref="E699" si="515">SUM(E697:E698)</f>
        <v>238.79999999999998</v>
      </c>
      <c r="F699" s="3"/>
      <c r="G699" s="28" t="s">
        <v>3</v>
      </c>
      <c r="H699" s="37">
        <f t="shared" si="513"/>
        <v>0</v>
      </c>
      <c r="I699" t="s">
        <v>465</v>
      </c>
    </row>
    <row r="700" spans="1:9" ht="18.600000000000001" thickBot="1" x14ac:dyDescent="0.5">
      <c r="A700" s="86"/>
      <c r="B700" s="7"/>
      <c r="C700" s="5" t="s">
        <v>8</v>
      </c>
      <c r="D700" s="5"/>
      <c r="E700" s="49">
        <f>_xlfn.SWITCH(H695,1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4323.7392</v>
      </c>
      <c r="F700" s="3"/>
      <c r="G700" s="28" t="s">
        <v>16</v>
      </c>
      <c r="H700" s="37">
        <f>真実の家賃!$I$8*AD36</f>
        <v>2507.4</v>
      </c>
      <c r="I700" t="s">
        <v>465</v>
      </c>
    </row>
    <row r="701" spans="1:9" ht="18.600000000000001" thickBot="1" x14ac:dyDescent="0.5">
      <c r="A701" s="86"/>
      <c r="B701" s="8"/>
      <c r="C701" s="127" t="s">
        <v>2</v>
      </c>
      <c r="D701" s="128"/>
      <c r="E701" s="19">
        <f t="shared" ref="E701" si="516">IF(H703="",H695*15,H703)</f>
        <v>510</v>
      </c>
      <c r="F701" s="3"/>
      <c r="G701" s="56" t="s">
        <v>573</v>
      </c>
      <c r="H701" s="40" t="str">
        <f t="shared" si="513"/>
        <v/>
      </c>
      <c r="I701" t="s">
        <v>465</v>
      </c>
    </row>
    <row r="702" spans="1:9" ht="18.600000000000001" thickBot="1" x14ac:dyDescent="0.5">
      <c r="A702" s="86"/>
      <c r="B702" s="8"/>
      <c r="C702" s="129" t="s">
        <v>9</v>
      </c>
      <c r="D702" s="129"/>
      <c r="E702" s="19">
        <f t="shared" ref="E702" si="517">_xlfn.SWITCH(H695,1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702" s="3"/>
      <c r="G702" s="34" t="s">
        <v>6</v>
      </c>
      <c r="H702" s="40" t="str">
        <f t="shared" si="481"/>
        <v/>
      </c>
      <c r="I702" t="s">
        <v>465</v>
      </c>
    </row>
    <row r="703" spans="1:9" ht="18.600000000000001" thickBot="1" x14ac:dyDescent="0.5">
      <c r="A703" s="86"/>
      <c r="B703" s="8"/>
      <c r="C703" s="130" t="s">
        <v>10</v>
      </c>
      <c r="D703" s="131"/>
      <c r="E703" s="19">
        <f t="shared" ref="E703" si="518">IF(H701="",$AA$3,H695*H701)</f>
        <v>0</v>
      </c>
      <c r="F703" s="3"/>
      <c r="G703" s="28" t="s">
        <v>560</v>
      </c>
      <c r="H703" s="40" t="str">
        <f t="shared" si="481"/>
        <v/>
      </c>
      <c r="I703" t="s">
        <v>465</v>
      </c>
    </row>
    <row r="704" spans="1:9" ht="18.600000000000001" thickBot="1" x14ac:dyDescent="0.5">
      <c r="A704" s="86"/>
      <c r="B704" s="132" t="s">
        <v>11</v>
      </c>
      <c r="C704" s="126"/>
      <c r="D704" s="126"/>
      <c r="E704" s="19">
        <f t="shared" ref="E704" si="519">SUM(E700:E703)</f>
        <v>4537.9979248</v>
      </c>
      <c r="F704" s="3"/>
      <c r="G704" s="33" t="s">
        <v>561</v>
      </c>
      <c r="H704" s="41" t="str">
        <f t="shared" si="481"/>
        <v/>
      </c>
      <c r="I704" t="s">
        <v>465</v>
      </c>
    </row>
    <row r="705" spans="1:9" ht="18.600000000000001" thickBot="1" x14ac:dyDescent="0.5">
      <c r="A705" s="86"/>
      <c r="B705" s="7"/>
      <c r="C705" s="127" t="s">
        <v>12</v>
      </c>
      <c r="D705" s="128"/>
      <c r="E705" s="19">
        <f t="shared" ref="E705" si="520">_xlfn.SWITCH(H695,1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126.7458</v>
      </c>
      <c r="F705" s="3"/>
      <c r="G705" s="32"/>
    </row>
    <row r="706" spans="1:9" ht="18.600000000000001" thickBot="1" x14ac:dyDescent="0.5">
      <c r="A706" s="86"/>
      <c r="B706" s="8"/>
      <c r="C706" s="127" t="s">
        <v>13</v>
      </c>
      <c r="D706" s="128"/>
      <c r="E706" s="19">
        <f t="shared" ref="E706" si="521">IF(H704="",H700*0.05,H704)</f>
        <v>125.37</v>
      </c>
      <c r="F706" s="3"/>
      <c r="G706" s="30"/>
    </row>
    <row r="707" spans="1:9" ht="18.600000000000001" thickBot="1" x14ac:dyDescent="0.5">
      <c r="A707" s="86"/>
      <c r="B707" s="132" t="s">
        <v>14</v>
      </c>
      <c r="C707" s="126"/>
      <c r="D707" s="126"/>
      <c r="E707" s="19">
        <f t="shared" ref="E707" si="522">SUM(E705:E706)</f>
        <v>252.11580000000001</v>
      </c>
      <c r="F707" s="3"/>
      <c r="G707" s="30"/>
    </row>
    <row r="708" spans="1:9" ht="18.600000000000001" thickBot="1" x14ac:dyDescent="0.5">
      <c r="A708" s="97" t="s">
        <v>15</v>
      </c>
      <c r="B708" s="98"/>
      <c r="C708" s="98"/>
      <c r="D708" s="99"/>
      <c r="E708" s="20">
        <f t="shared" ref="E708" si="523">E699+E704+E707</f>
        <v>5028.9137247999997</v>
      </c>
      <c r="F708" s="3"/>
      <c r="G708" s="30"/>
    </row>
    <row r="709" spans="1:9" ht="18.600000000000001" thickBot="1" x14ac:dyDescent="0.5">
      <c r="A709" s="6"/>
      <c r="B709" s="126" t="s">
        <v>16</v>
      </c>
      <c r="C709" s="126"/>
      <c r="D709" s="126"/>
      <c r="E709" s="19">
        <f t="shared" ref="E709" si="524">H700</f>
        <v>2507.4</v>
      </c>
      <c r="F709" s="3"/>
    </row>
    <row r="710" spans="1:9" ht="18.600000000000001" thickBot="1" x14ac:dyDescent="0.5">
      <c r="A710" s="97" t="s">
        <v>17</v>
      </c>
      <c r="B710" s="98"/>
      <c r="C710" s="98"/>
      <c r="D710" s="99"/>
      <c r="E710" s="20">
        <f t="shared" ref="E710" si="525">E709</f>
        <v>2507.4</v>
      </c>
      <c r="F710" s="3"/>
    </row>
    <row r="711" spans="1:9" ht="18.600000000000001" thickBot="1" x14ac:dyDescent="0.5">
      <c r="A711" s="96" t="s">
        <v>18</v>
      </c>
      <c r="B711" s="96"/>
      <c r="C711" s="96"/>
      <c r="D711" s="96"/>
      <c r="E711" s="14">
        <f t="shared" ref="E711" si="526">12*H695</f>
        <v>408</v>
      </c>
      <c r="F711" s="3"/>
    </row>
    <row r="712" spans="1:9" ht="18.600000000000001" thickBot="1" x14ac:dyDescent="0.5">
      <c r="A712" s="3"/>
      <c r="B712" s="3"/>
      <c r="C712" s="3"/>
      <c r="D712" s="3"/>
      <c r="E712" s="3"/>
      <c r="F712" s="3"/>
    </row>
    <row r="713" spans="1:9" ht="18.600000000000001" thickBot="1" x14ac:dyDescent="0.5">
      <c r="A713" s="12" t="s">
        <v>19</v>
      </c>
      <c r="B713" s="12"/>
      <c r="C713" s="12"/>
      <c r="D713" s="12"/>
      <c r="E713" s="15">
        <f t="shared" ref="E713" si="527">-((E710-E708)/E711)</f>
        <v>6.1801806980392149</v>
      </c>
      <c r="F713" s="3" t="s">
        <v>20</v>
      </c>
    </row>
    <row r="714" spans="1:9" x14ac:dyDescent="0.45">
      <c r="A714" s="3"/>
      <c r="B714" s="3"/>
      <c r="C714" s="3"/>
      <c r="D714" s="3"/>
      <c r="E714" s="3"/>
      <c r="F714" s="3"/>
    </row>
    <row r="715" spans="1:9" ht="18.600000000000001" thickBot="1" x14ac:dyDescent="0.5">
      <c r="A715" s="3"/>
      <c r="B715" s="3"/>
      <c r="D715" s="3"/>
      <c r="E715" s="3"/>
      <c r="F715" s="3"/>
    </row>
    <row r="716" spans="1:9" ht="18.600000000000001" thickBot="1" x14ac:dyDescent="0.5">
      <c r="A716" s="10" t="s">
        <v>4</v>
      </c>
      <c r="B716" s="3"/>
      <c r="C716" s="3"/>
      <c r="D716" s="3"/>
      <c r="E716" s="4" t="s">
        <v>1</v>
      </c>
      <c r="F716" s="4"/>
      <c r="G716" s="38" t="s">
        <v>508</v>
      </c>
      <c r="H716" s="42">
        <f t="shared" ref="H716" si="528">H695+1</f>
        <v>35</v>
      </c>
      <c r="I716" t="s">
        <v>509</v>
      </c>
    </row>
    <row r="717" spans="1:9" ht="18.600000000000001" thickBot="1" x14ac:dyDescent="0.5">
      <c r="A717" s="133" t="s">
        <v>5</v>
      </c>
      <c r="B717" s="133"/>
      <c r="C717" s="133"/>
      <c r="D717" s="133"/>
      <c r="E717" s="11" t="s">
        <v>0</v>
      </c>
      <c r="F717" s="3"/>
      <c r="G717" s="36" t="s">
        <v>464</v>
      </c>
      <c r="H717" s="37">
        <f t="shared" ref="H717:H722" si="529">H696</f>
        <v>3980</v>
      </c>
      <c r="I717" t="s">
        <v>465</v>
      </c>
    </row>
    <row r="718" spans="1:9" ht="18.600000000000001" thickBot="1" x14ac:dyDescent="0.5">
      <c r="A718" s="85"/>
      <c r="B718" s="87"/>
      <c r="C718" s="127" t="s">
        <v>3</v>
      </c>
      <c r="D718" s="128"/>
      <c r="E718" s="29">
        <f t="shared" ref="E718" si="530">IF(H720="",0,H720)</f>
        <v>0</v>
      </c>
      <c r="F718" s="3"/>
      <c r="G718" s="25" t="s">
        <v>466</v>
      </c>
      <c r="H718" s="43">
        <f t="shared" si="529"/>
        <v>0.65</v>
      </c>
      <c r="I718" t="s">
        <v>469</v>
      </c>
    </row>
    <row r="719" spans="1:9" ht="18.600000000000001" thickBot="1" x14ac:dyDescent="0.5">
      <c r="A719" s="86"/>
      <c r="B719" s="88"/>
      <c r="C719" s="127" t="s">
        <v>6</v>
      </c>
      <c r="D719" s="128"/>
      <c r="E719" s="19">
        <f>IF(H723="",$H$7*0.06,H723)</f>
        <v>238.79999999999998</v>
      </c>
      <c r="F719" s="3"/>
      <c r="G719" s="25" t="s">
        <v>467</v>
      </c>
      <c r="H719" s="37">
        <f t="shared" si="529"/>
        <v>35</v>
      </c>
      <c r="I719" t="s">
        <v>468</v>
      </c>
    </row>
    <row r="720" spans="1:9" ht="18.600000000000001" thickBot="1" x14ac:dyDescent="0.5">
      <c r="A720" s="86"/>
      <c r="B720" s="91" t="s">
        <v>7</v>
      </c>
      <c r="C720" s="92"/>
      <c r="D720" s="92"/>
      <c r="E720" s="19">
        <f t="shared" ref="E720" si="531">SUM(E718:E719)</f>
        <v>238.79999999999998</v>
      </c>
      <c r="F720" s="3"/>
      <c r="G720" s="28" t="s">
        <v>3</v>
      </c>
      <c r="H720" s="37">
        <f t="shared" si="529"/>
        <v>0</v>
      </c>
      <c r="I720" t="s">
        <v>465</v>
      </c>
    </row>
    <row r="721" spans="1:9" ht="18.600000000000001" thickBot="1" x14ac:dyDescent="0.5">
      <c r="A721" s="86"/>
      <c r="B721" s="7"/>
      <c r="C721" s="5" t="s">
        <v>8</v>
      </c>
      <c r="D721" s="5"/>
      <c r="E721" s="49">
        <f>_xlfn.SWITCH(H716,1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721" s="3"/>
      <c r="G721" s="28" t="s">
        <v>16</v>
      </c>
      <c r="H721" s="37">
        <f>真実の家賃!$I$8*AD37</f>
        <v>2507.4</v>
      </c>
      <c r="I721" t="s">
        <v>465</v>
      </c>
    </row>
    <row r="722" spans="1:9" ht="18.600000000000001" thickBot="1" x14ac:dyDescent="0.5">
      <c r="A722" s="86"/>
      <c r="B722" s="8"/>
      <c r="C722" s="127" t="s">
        <v>2</v>
      </c>
      <c r="D722" s="128"/>
      <c r="E722" s="19">
        <f t="shared" ref="E722" si="532">IF(H724="",H716*15,H724)</f>
        <v>525</v>
      </c>
      <c r="F722" s="3"/>
      <c r="G722" s="56" t="s">
        <v>573</v>
      </c>
      <c r="H722" s="40" t="str">
        <f t="shared" si="529"/>
        <v/>
      </c>
      <c r="I722" t="s">
        <v>465</v>
      </c>
    </row>
    <row r="723" spans="1:9" ht="18.600000000000001" thickBot="1" x14ac:dyDescent="0.5">
      <c r="A723" s="86"/>
      <c r="B723" s="8"/>
      <c r="C723" s="129" t="s">
        <v>9</v>
      </c>
      <c r="D723" s="129"/>
      <c r="E723" s="19">
        <f t="shared" ref="E723" si="533">_xlfn.SWITCH(H716,1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723" s="3"/>
      <c r="G723" s="34" t="s">
        <v>6</v>
      </c>
      <c r="H723" s="40" t="str">
        <f t="shared" si="497"/>
        <v/>
      </c>
      <c r="I723" t="s">
        <v>465</v>
      </c>
    </row>
    <row r="724" spans="1:9" ht="18.600000000000001" thickBot="1" x14ac:dyDescent="0.5">
      <c r="A724" s="86"/>
      <c r="B724" s="8"/>
      <c r="C724" s="130" t="s">
        <v>10</v>
      </c>
      <c r="D724" s="131"/>
      <c r="E724" s="19">
        <f t="shared" ref="E724" si="534">IF(H722="",$AA$3,H716*H722)</f>
        <v>0</v>
      </c>
      <c r="F724" s="3"/>
      <c r="G724" s="28" t="s">
        <v>560</v>
      </c>
      <c r="H724" s="40" t="str">
        <f t="shared" si="497"/>
        <v/>
      </c>
      <c r="I724" t="s">
        <v>465</v>
      </c>
    </row>
    <row r="725" spans="1:9" ht="18.600000000000001" thickBot="1" x14ac:dyDescent="0.5">
      <c r="A725" s="86"/>
      <c r="B725" s="132" t="s">
        <v>11</v>
      </c>
      <c r="C725" s="126"/>
      <c r="D725" s="126"/>
      <c r="E725" s="19">
        <f t="shared" ref="E725" si="535">SUM(E721:E724)</f>
        <v>4680.1667248000003</v>
      </c>
      <c r="F725" s="3"/>
      <c r="G725" s="33" t="s">
        <v>561</v>
      </c>
      <c r="H725" s="41" t="str">
        <f t="shared" si="497"/>
        <v/>
      </c>
      <c r="I725" t="s">
        <v>465</v>
      </c>
    </row>
    <row r="726" spans="1:9" ht="18.600000000000001" thickBot="1" x14ac:dyDescent="0.5">
      <c r="A726" s="86"/>
      <c r="B726" s="7"/>
      <c r="C726" s="127" t="s">
        <v>12</v>
      </c>
      <c r="D726" s="128"/>
      <c r="E726" s="19">
        <f t="shared" ref="E726" si="536">_xlfn.SWITCH(H716,1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2.3199999999999998E-2</v>
      </c>
      <c r="F726" s="3"/>
      <c r="G726" s="32"/>
    </row>
    <row r="727" spans="1:9" ht="18.600000000000001" thickBot="1" x14ac:dyDescent="0.5">
      <c r="A727" s="86"/>
      <c r="B727" s="8"/>
      <c r="C727" s="127" t="s">
        <v>13</v>
      </c>
      <c r="D727" s="128"/>
      <c r="E727" s="19">
        <f t="shared" ref="E727" si="537">IF(H725="",H721*0.05,H725)</f>
        <v>125.37</v>
      </c>
      <c r="F727" s="3"/>
      <c r="G727" s="30"/>
    </row>
    <row r="728" spans="1:9" ht="18.600000000000001" thickBot="1" x14ac:dyDescent="0.5">
      <c r="A728" s="86"/>
      <c r="B728" s="132" t="s">
        <v>14</v>
      </c>
      <c r="C728" s="126"/>
      <c r="D728" s="126"/>
      <c r="E728" s="19">
        <f t="shared" ref="E728" si="538">SUM(E726:E727)</f>
        <v>125.39320000000001</v>
      </c>
      <c r="F728" s="3"/>
      <c r="G728" s="30"/>
    </row>
    <row r="729" spans="1:9" ht="18.600000000000001" thickBot="1" x14ac:dyDescent="0.5">
      <c r="A729" s="97" t="s">
        <v>15</v>
      </c>
      <c r="B729" s="98"/>
      <c r="C729" s="98"/>
      <c r="D729" s="99"/>
      <c r="E729" s="20">
        <f t="shared" ref="E729" si="539">E720+E725+E728</f>
        <v>5044.359924800001</v>
      </c>
      <c r="F729" s="3"/>
      <c r="G729" s="30"/>
    </row>
    <row r="730" spans="1:9" ht="18.600000000000001" thickBot="1" x14ac:dyDescent="0.5">
      <c r="A730" s="6"/>
      <c r="B730" s="126" t="s">
        <v>16</v>
      </c>
      <c r="C730" s="126"/>
      <c r="D730" s="126"/>
      <c r="E730" s="19">
        <f t="shared" ref="E730" si="540">H721</f>
        <v>2507.4</v>
      </c>
      <c r="F730" s="3"/>
    </row>
    <row r="731" spans="1:9" ht="18.600000000000001" thickBot="1" x14ac:dyDescent="0.5">
      <c r="A731" s="97" t="s">
        <v>17</v>
      </c>
      <c r="B731" s="98"/>
      <c r="C731" s="98"/>
      <c r="D731" s="99"/>
      <c r="E731" s="20">
        <f t="shared" ref="E731" si="541">E730</f>
        <v>2507.4</v>
      </c>
      <c r="F731" s="3"/>
    </row>
    <row r="732" spans="1:9" ht="18.600000000000001" thickBot="1" x14ac:dyDescent="0.5">
      <c r="A732" s="96" t="s">
        <v>18</v>
      </c>
      <c r="B732" s="96"/>
      <c r="C732" s="96"/>
      <c r="D732" s="96"/>
      <c r="E732" s="14">
        <f t="shared" ref="E732" si="542">12*H716</f>
        <v>420</v>
      </c>
      <c r="F732" s="3"/>
    </row>
    <row r="733" spans="1:9" ht="18.600000000000001" thickBot="1" x14ac:dyDescent="0.5">
      <c r="A733" s="3"/>
      <c r="B733" s="3"/>
      <c r="C733" s="3"/>
      <c r="D733" s="3"/>
      <c r="E733" s="3"/>
      <c r="F733" s="3"/>
    </row>
    <row r="734" spans="1:9" ht="18.600000000000001" thickBot="1" x14ac:dyDescent="0.5">
      <c r="A734" s="12" t="s">
        <v>19</v>
      </c>
      <c r="B734" s="12"/>
      <c r="C734" s="12"/>
      <c r="D734" s="12"/>
      <c r="E734" s="15">
        <f t="shared" ref="E734" si="543">-((E731-E729)/E732)</f>
        <v>6.040380773333335</v>
      </c>
      <c r="F734" s="3" t="s">
        <v>20</v>
      </c>
    </row>
    <row r="735" spans="1:9" x14ac:dyDescent="0.45">
      <c r="A735" s="3"/>
      <c r="B735" s="3"/>
      <c r="C735" s="3"/>
      <c r="D735" s="3"/>
      <c r="E735" s="3"/>
      <c r="F735" s="3"/>
    </row>
    <row r="736" spans="1:9" ht="18.600000000000001" thickBot="1" x14ac:dyDescent="0.5">
      <c r="A736" s="3"/>
      <c r="B736" s="3"/>
      <c r="D736" s="3"/>
      <c r="E736" s="3"/>
      <c r="F736" s="3"/>
    </row>
    <row r="737" spans="1:9" ht="18.600000000000001" thickBot="1" x14ac:dyDescent="0.5">
      <c r="A737" s="10" t="s">
        <v>4</v>
      </c>
      <c r="B737" s="3"/>
      <c r="C737" s="3"/>
      <c r="D737" s="3"/>
      <c r="E737" s="4" t="s">
        <v>1</v>
      </c>
      <c r="F737" s="4"/>
      <c r="G737" s="38" t="s">
        <v>508</v>
      </c>
      <c r="H737" s="42">
        <f t="shared" ref="H737" si="544">H716+1</f>
        <v>36</v>
      </c>
      <c r="I737" t="s">
        <v>509</v>
      </c>
    </row>
    <row r="738" spans="1:9" ht="18.600000000000001" thickBot="1" x14ac:dyDescent="0.5">
      <c r="A738" s="133" t="s">
        <v>5</v>
      </c>
      <c r="B738" s="133"/>
      <c r="C738" s="133"/>
      <c r="D738" s="133"/>
      <c r="E738" s="11" t="s">
        <v>0</v>
      </c>
      <c r="F738" s="3"/>
      <c r="G738" s="36" t="s">
        <v>464</v>
      </c>
      <c r="H738" s="37">
        <f t="shared" ref="H738:H788" si="545">H717</f>
        <v>3980</v>
      </c>
      <c r="I738" t="s">
        <v>465</v>
      </c>
    </row>
    <row r="739" spans="1:9" ht="18.600000000000001" thickBot="1" x14ac:dyDescent="0.5">
      <c r="A739" s="85"/>
      <c r="B739" s="87"/>
      <c r="C739" s="127" t="s">
        <v>3</v>
      </c>
      <c r="D739" s="128"/>
      <c r="E739" s="29">
        <f t="shared" ref="E739" si="546">IF(H741="",0,H741)</f>
        <v>0</v>
      </c>
      <c r="F739" s="3"/>
      <c r="G739" s="25" t="s">
        <v>466</v>
      </c>
      <c r="H739" s="43">
        <f t="shared" si="545"/>
        <v>0.65</v>
      </c>
      <c r="I739" t="s">
        <v>469</v>
      </c>
    </row>
    <row r="740" spans="1:9" ht="18.600000000000001" thickBot="1" x14ac:dyDescent="0.5">
      <c r="A740" s="86"/>
      <c r="B740" s="88"/>
      <c r="C740" s="127" t="s">
        <v>6</v>
      </c>
      <c r="D740" s="128"/>
      <c r="E740" s="19">
        <f>IF(H744="",$H$7*0.06,H744)</f>
        <v>238.79999999999998</v>
      </c>
      <c r="F740" s="3"/>
      <c r="G740" s="25" t="s">
        <v>467</v>
      </c>
      <c r="H740" s="37">
        <f t="shared" si="545"/>
        <v>35</v>
      </c>
      <c r="I740" t="s">
        <v>468</v>
      </c>
    </row>
    <row r="741" spans="1:9" ht="18.600000000000001" thickBot="1" x14ac:dyDescent="0.5">
      <c r="A741" s="86"/>
      <c r="B741" s="91" t="s">
        <v>7</v>
      </c>
      <c r="C741" s="92"/>
      <c r="D741" s="92"/>
      <c r="E741" s="19">
        <f t="shared" ref="E741" si="547">SUM(E739:E740)</f>
        <v>238.79999999999998</v>
      </c>
      <c r="F741" s="3"/>
      <c r="G741" s="28" t="s">
        <v>3</v>
      </c>
      <c r="H741" s="37">
        <f t="shared" si="545"/>
        <v>0</v>
      </c>
      <c r="I741" t="s">
        <v>465</v>
      </c>
    </row>
    <row r="742" spans="1:9" ht="18.600000000000001" thickBot="1" x14ac:dyDescent="0.5">
      <c r="A742" s="86"/>
      <c r="B742" s="7"/>
      <c r="C742" s="5" t="s">
        <v>8</v>
      </c>
      <c r="D742" s="5"/>
      <c r="E742" s="49">
        <f>_xlfn.SWITCH(H737,1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742" s="3"/>
      <c r="G742" s="28" t="s">
        <v>16</v>
      </c>
      <c r="H742" s="37">
        <f>真実の家賃!$I$8*AD38</f>
        <v>2507.4</v>
      </c>
      <c r="I742" t="s">
        <v>465</v>
      </c>
    </row>
    <row r="743" spans="1:9" ht="18.600000000000001" thickBot="1" x14ac:dyDescent="0.5">
      <c r="A743" s="86"/>
      <c r="B743" s="8"/>
      <c r="C743" s="127" t="s">
        <v>2</v>
      </c>
      <c r="D743" s="128"/>
      <c r="E743" s="19">
        <f t="shared" ref="E743" si="548">IF(H745="",H737*15,H745)</f>
        <v>540</v>
      </c>
      <c r="F743" s="3"/>
      <c r="G743" s="56" t="s">
        <v>573</v>
      </c>
      <c r="H743" s="40" t="str">
        <f t="shared" si="545"/>
        <v/>
      </c>
      <c r="I743" t="s">
        <v>465</v>
      </c>
    </row>
    <row r="744" spans="1:9" ht="18.600000000000001" thickBot="1" x14ac:dyDescent="0.5">
      <c r="A744" s="86"/>
      <c r="B744" s="8"/>
      <c r="C744" s="129" t="s">
        <v>9</v>
      </c>
      <c r="D744" s="129"/>
      <c r="E744" s="19">
        <f t="shared" ref="E744" si="549">_xlfn.SWITCH(H737,1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744" s="3"/>
      <c r="G744" s="34" t="s">
        <v>6</v>
      </c>
      <c r="H744" s="40" t="str">
        <f t="shared" si="545"/>
        <v/>
      </c>
      <c r="I744" t="s">
        <v>465</v>
      </c>
    </row>
    <row r="745" spans="1:9" ht="18.600000000000001" thickBot="1" x14ac:dyDescent="0.5">
      <c r="A745" s="86"/>
      <c r="B745" s="8"/>
      <c r="C745" s="130" t="s">
        <v>10</v>
      </c>
      <c r="D745" s="131"/>
      <c r="E745" s="19">
        <f t="shared" ref="E745" si="550">IF(H743="",$AA$3,H737*H743)</f>
        <v>0</v>
      </c>
      <c r="F745" s="3"/>
      <c r="G745" s="28" t="s">
        <v>560</v>
      </c>
      <c r="H745" s="40" t="str">
        <f t="shared" si="545"/>
        <v/>
      </c>
      <c r="I745" t="s">
        <v>465</v>
      </c>
    </row>
    <row r="746" spans="1:9" ht="18.600000000000001" thickBot="1" x14ac:dyDescent="0.5">
      <c r="A746" s="86"/>
      <c r="B746" s="132" t="s">
        <v>11</v>
      </c>
      <c r="C746" s="126"/>
      <c r="D746" s="126"/>
      <c r="E746" s="19">
        <f t="shared" ref="E746" si="551">SUM(E742:E745)</f>
        <v>4695.1667248000003</v>
      </c>
      <c r="F746" s="3"/>
      <c r="G746" s="33" t="s">
        <v>561</v>
      </c>
      <c r="H746" s="41" t="str">
        <f t="shared" si="545"/>
        <v/>
      </c>
      <c r="I746" t="s">
        <v>465</v>
      </c>
    </row>
    <row r="747" spans="1:9" ht="18.600000000000001" thickBot="1" x14ac:dyDescent="0.5">
      <c r="A747" s="86"/>
      <c r="B747" s="7"/>
      <c r="C747" s="127" t="s">
        <v>12</v>
      </c>
      <c r="D747" s="128"/>
      <c r="E747" s="19">
        <f t="shared" ref="E747" si="552">_xlfn.SWITCH(H737,1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747" s="3"/>
      <c r="G747" s="32"/>
    </row>
    <row r="748" spans="1:9" ht="18.600000000000001" thickBot="1" x14ac:dyDescent="0.5">
      <c r="A748" s="86"/>
      <c r="B748" s="8"/>
      <c r="C748" s="127" t="s">
        <v>13</v>
      </c>
      <c r="D748" s="128"/>
      <c r="E748" s="19">
        <f t="shared" ref="E748" si="553">IF(H746="",H742*0.05,H746)</f>
        <v>125.37</v>
      </c>
      <c r="F748" s="3"/>
      <c r="G748" s="30"/>
    </row>
    <row r="749" spans="1:9" ht="18.600000000000001" thickBot="1" x14ac:dyDescent="0.5">
      <c r="A749" s="86"/>
      <c r="B749" s="132" t="s">
        <v>14</v>
      </c>
      <c r="C749" s="126"/>
      <c r="D749" s="126"/>
      <c r="E749" s="19">
        <f t="shared" ref="E749" si="554">SUM(E747:E748)</f>
        <v>125.37</v>
      </c>
      <c r="F749" s="3"/>
      <c r="G749" s="30"/>
    </row>
    <row r="750" spans="1:9" ht="18.600000000000001" thickBot="1" x14ac:dyDescent="0.5">
      <c r="A750" s="97" t="s">
        <v>15</v>
      </c>
      <c r="B750" s="98"/>
      <c r="C750" s="98"/>
      <c r="D750" s="99"/>
      <c r="E750" s="20">
        <f t="shared" ref="E750" si="555">E741+E746+E749</f>
        <v>5059.3367248000004</v>
      </c>
      <c r="F750" s="3"/>
      <c r="G750" s="30"/>
    </row>
    <row r="751" spans="1:9" ht="18.600000000000001" thickBot="1" x14ac:dyDescent="0.5">
      <c r="A751" s="6"/>
      <c r="B751" s="126" t="s">
        <v>16</v>
      </c>
      <c r="C751" s="126"/>
      <c r="D751" s="126"/>
      <c r="E751" s="19">
        <f t="shared" ref="E751" si="556">H742</f>
        <v>2507.4</v>
      </c>
      <c r="F751" s="3"/>
    </row>
    <row r="752" spans="1:9" ht="18.600000000000001" thickBot="1" x14ac:dyDescent="0.5">
      <c r="A752" s="97" t="s">
        <v>17</v>
      </c>
      <c r="B752" s="98"/>
      <c r="C752" s="98"/>
      <c r="D752" s="99"/>
      <c r="E752" s="20">
        <f t="shared" ref="E752" si="557">E751</f>
        <v>2507.4</v>
      </c>
      <c r="F752" s="3"/>
    </row>
    <row r="753" spans="1:9" ht="18.600000000000001" thickBot="1" x14ac:dyDescent="0.5">
      <c r="A753" s="96" t="s">
        <v>18</v>
      </c>
      <c r="B753" s="96"/>
      <c r="C753" s="96"/>
      <c r="D753" s="96"/>
      <c r="E753" s="14">
        <f t="shared" ref="E753" si="558">12*H737</f>
        <v>432</v>
      </c>
      <c r="F753" s="3"/>
    </row>
    <row r="754" spans="1:9" ht="18.600000000000001" thickBot="1" x14ac:dyDescent="0.5">
      <c r="A754" s="3"/>
      <c r="B754" s="3"/>
      <c r="C754" s="3"/>
      <c r="D754" s="3"/>
      <c r="E754" s="3"/>
      <c r="F754" s="3"/>
    </row>
    <row r="755" spans="1:9" ht="18.600000000000001" thickBot="1" x14ac:dyDescent="0.5">
      <c r="A755" s="12" t="s">
        <v>19</v>
      </c>
      <c r="B755" s="12"/>
      <c r="C755" s="12"/>
      <c r="D755" s="12"/>
      <c r="E755" s="15">
        <f t="shared" ref="E755" si="559">-((E752-E750)/E753)</f>
        <v>5.9072609370370381</v>
      </c>
      <c r="F755" s="3" t="s">
        <v>20</v>
      </c>
    </row>
    <row r="756" spans="1:9" x14ac:dyDescent="0.45">
      <c r="A756" s="3"/>
      <c r="B756" s="3"/>
      <c r="C756" s="3"/>
      <c r="D756" s="3"/>
      <c r="E756" s="3"/>
      <c r="F756" s="3"/>
    </row>
    <row r="757" spans="1:9" ht="18.600000000000001" thickBot="1" x14ac:dyDescent="0.5">
      <c r="A757" s="3"/>
      <c r="B757" s="3"/>
      <c r="D757" s="3"/>
      <c r="E757" s="3"/>
      <c r="F757" s="3"/>
    </row>
    <row r="758" spans="1:9" ht="18.600000000000001" thickBot="1" x14ac:dyDescent="0.5">
      <c r="A758" s="10" t="s">
        <v>4</v>
      </c>
      <c r="B758" s="3"/>
      <c r="C758" s="3"/>
      <c r="D758" s="3"/>
      <c r="E758" s="4" t="s">
        <v>1</v>
      </c>
      <c r="F758" s="4"/>
      <c r="G758" s="38" t="s">
        <v>508</v>
      </c>
      <c r="H758" s="42">
        <f t="shared" ref="H758" si="560">H737+1</f>
        <v>37</v>
      </c>
      <c r="I758" t="s">
        <v>509</v>
      </c>
    </row>
    <row r="759" spans="1:9" ht="18.600000000000001" thickBot="1" x14ac:dyDescent="0.5">
      <c r="A759" s="133" t="s">
        <v>5</v>
      </c>
      <c r="B759" s="133"/>
      <c r="C759" s="133"/>
      <c r="D759" s="133"/>
      <c r="E759" s="11" t="s">
        <v>0</v>
      </c>
      <c r="F759" s="3"/>
      <c r="G759" s="36" t="s">
        <v>464</v>
      </c>
      <c r="H759" s="37">
        <f t="shared" ref="H759:H809" si="561">H738</f>
        <v>3980</v>
      </c>
      <c r="I759" t="s">
        <v>465</v>
      </c>
    </row>
    <row r="760" spans="1:9" ht="18.600000000000001" thickBot="1" x14ac:dyDescent="0.5">
      <c r="A760" s="85"/>
      <c r="B760" s="87"/>
      <c r="C760" s="127" t="s">
        <v>3</v>
      </c>
      <c r="D760" s="128"/>
      <c r="E760" s="29">
        <f t="shared" ref="E760" si="562">IF(H762="",0,H762)</f>
        <v>0</v>
      </c>
      <c r="F760" s="3"/>
      <c r="G760" s="25" t="s">
        <v>466</v>
      </c>
      <c r="H760" s="43">
        <f t="shared" si="561"/>
        <v>0.65</v>
      </c>
      <c r="I760" t="s">
        <v>469</v>
      </c>
    </row>
    <row r="761" spans="1:9" ht="18.600000000000001" thickBot="1" x14ac:dyDescent="0.5">
      <c r="A761" s="86"/>
      <c r="B761" s="88"/>
      <c r="C761" s="127" t="s">
        <v>6</v>
      </c>
      <c r="D761" s="128"/>
      <c r="E761" s="19">
        <f>IF(H765="",$H$7*0.06,H765)</f>
        <v>238.79999999999998</v>
      </c>
      <c r="F761" s="3"/>
      <c r="G761" s="25" t="s">
        <v>467</v>
      </c>
      <c r="H761" s="37">
        <f t="shared" si="561"/>
        <v>35</v>
      </c>
      <c r="I761" t="s">
        <v>468</v>
      </c>
    </row>
    <row r="762" spans="1:9" ht="18.600000000000001" thickBot="1" x14ac:dyDescent="0.5">
      <c r="A762" s="86"/>
      <c r="B762" s="91" t="s">
        <v>7</v>
      </c>
      <c r="C762" s="92"/>
      <c r="D762" s="92"/>
      <c r="E762" s="19">
        <f t="shared" ref="E762" si="563">SUM(E760:E761)</f>
        <v>238.79999999999998</v>
      </c>
      <c r="F762" s="3"/>
      <c r="G762" s="28" t="s">
        <v>3</v>
      </c>
      <c r="H762" s="37">
        <f t="shared" si="561"/>
        <v>0</v>
      </c>
      <c r="I762" t="s">
        <v>465</v>
      </c>
    </row>
    <row r="763" spans="1:9" ht="18.600000000000001" thickBot="1" x14ac:dyDescent="0.5">
      <c r="A763" s="86"/>
      <c r="B763" s="7"/>
      <c r="C763" s="5" t="s">
        <v>8</v>
      </c>
      <c r="D763" s="5"/>
      <c r="E763" s="49">
        <f>_xlfn.SWITCH(H758,1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763" s="3"/>
      <c r="G763" s="28" t="s">
        <v>16</v>
      </c>
      <c r="H763" s="37">
        <f>真実の家賃!$I$8*AD39</f>
        <v>2507.4</v>
      </c>
      <c r="I763" t="s">
        <v>465</v>
      </c>
    </row>
    <row r="764" spans="1:9" ht="18.600000000000001" thickBot="1" x14ac:dyDescent="0.5">
      <c r="A764" s="86"/>
      <c r="B764" s="8"/>
      <c r="C764" s="127" t="s">
        <v>2</v>
      </c>
      <c r="D764" s="128"/>
      <c r="E764" s="19">
        <f t="shared" ref="E764" si="564">IF(H766="",H758*15,H766)</f>
        <v>555</v>
      </c>
      <c r="F764" s="3"/>
      <c r="G764" s="56" t="s">
        <v>573</v>
      </c>
      <c r="H764" s="40" t="str">
        <f t="shared" si="561"/>
        <v/>
      </c>
      <c r="I764" t="s">
        <v>465</v>
      </c>
    </row>
    <row r="765" spans="1:9" ht="18.600000000000001" thickBot="1" x14ac:dyDescent="0.5">
      <c r="A765" s="86"/>
      <c r="B765" s="8"/>
      <c r="C765" s="129" t="s">
        <v>9</v>
      </c>
      <c r="D765" s="129"/>
      <c r="E765" s="19">
        <f t="shared" ref="E765" si="565">_xlfn.SWITCH(H758,1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765" s="3"/>
      <c r="G765" s="34" t="s">
        <v>6</v>
      </c>
      <c r="H765" s="40" t="str">
        <f t="shared" si="561"/>
        <v/>
      </c>
      <c r="I765" t="s">
        <v>465</v>
      </c>
    </row>
    <row r="766" spans="1:9" ht="18.600000000000001" thickBot="1" x14ac:dyDescent="0.5">
      <c r="A766" s="86"/>
      <c r="B766" s="8"/>
      <c r="C766" s="130" t="s">
        <v>10</v>
      </c>
      <c r="D766" s="131"/>
      <c r="E766" s="19">
        <f t="shared" ref="E766" si="566">IF(H764="",$AA$3,H758*H764)</f>
        <v>0</v>
      </c>
      <c r="F766" s="3"/>
      <c r="G766" s="28" t="s">
        <v>560</v>
      </c>
      <c r="H766" s="40" t="str">
        <f t="shared" si="561"/>
        <v/>
      </c>
      <c r="I766" t="s">
        <v>465</v>
      </c>
    </row>
    <row r="767" spans="1:9" ht="18.600000000000001" thickBot="1" x14ac:dyDescent="0.5">
      <c r="A767" s="86"/>
      <c r="B767" s="132" t="s">
        <v>11</v>
      </c>
      <c r="C767" s="126"/>
      <c r="D767" s="126"/>
      <c r="E767" s="19">
        <f t="shared" ref="E767" si="567">SUM(E763:E766)</f>
        <v>4710.1667248000003</v>
      </c>
      <c r="F767" s="3"/>
      <c r="G767" s="33" t="s">
        <v>561</v>
      </c>
      <c r="H767" s="41" t="str">
        <f t="shared" si="561"/>
        <v/>
      </c>
      <c r="I767" t="s">
        <v>465</v>
      </c>
    </row>
    <row r="768" spans="1:9" ht="18.600000000000001" thickBot="1" x14ac:dyDescent="0.5">
      <c r="A768" s="86"/>
      <c r="B768" s="7"/>
      <c r="C768" s="127" t="s">
        <v>12</v>
      </c>
      <c r="D768" s="128"/>
      <c r="E768" s="19">
        <f t="shared" ref="E768" si="568">_xlfn.SWITCH(H758,1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768" s="3"/>
      <c r="G768" s="32"/>
    </row>
    <row r="769" spans="1:9" ht="18.600000000000001" thickBot="1" x14ac:dyDescent="0.5">
      <c r="A769" s="86"/>
      <c r="B769" s="8"/>
      <c r="C769" s="127" t="s">
        <v>13</v>
      </c>
      <c r="D769" s="128"/>
      <c r="E769" s="19">
        <f t="shared" ref="E769" si="569">IF(H767="",H763*0.05,H767)</f>
        <v>125.37</v>
      </c>
      <c r="F769" s="3"/>
      <c r="G769" s="30"/>
    </row>
    <row r="770" spans="1:9" ht="18.600000000000001" thickBot="1" x14ac:dyDescent="0.5">
      <c r="A770" s="86"/>
      <c r="B770" s="132" t="s">
        <v>14</v>
      </c>
      <c r="C770" s="126"/>
      <c r="D770" s="126"/>
      <c r="E770" s="19">
        <f t="shared" ref="E770" si="570">SUM(E768:E769)</f>
        <v>125.37</v>
      </c>
      <c r="F770" s="3"/>
      <c r="G770" s="30"/>
    </row>
    <row r="771" spans="1:9" ht="18.600000000000001" thickBot="1" x14ac:dyDescent="0.5">
      <c r="A771" s="97" t="s">
        <v>15</v>
      </c>
      <c r="B771" s="98"/>
      <c r="C771" s="98"/>
      <c r="D771" s="99"/>
      <c r="E771" s="20">
        <f t="shared" ref="E771" si="571">E762+E767+E770</f>
        <v>5074.3367248000004</v>
      </c>
      <c r="F771" s="3"/>
      <c r="G771" s="30"/>
    </row>
    <row r="772" spans="1:9" ht="18.600000000000001" thickBot="1" x14ac:dyDescent="0.5">
      <c r="A772" s="6"/>
      <c r="B772" s="126" t="s">
        <v>16</v>
      </c>
      <c r="C772" s="126"/>
      <c r="D772" s="126"/>
      <c r="E772" s="19">
        <f t="shared" ref="E772" si="572">H763</f>
        <v>2507.4</v>
      </c>
      <c r="F772" s="3"/>
    </row>
    <row r="773" spans="1:9" ht="18.600000000000001" thickBot="1" x14ac:dyDescent="0.5">
      <c r="A773" s="97" t="s">
        <v>17</v>
      </c>
      <c r="B773" s="98"/>
      <c r="C773" s="98"/>
      <c r="D773" s="99"/>
      <c r="E773" s="20">
        <f t="shared" ref="E773" si="573">E772</f>
        <v>2507.4</v>
      </c>
      <c r="F773" s="3"/>
    </row>
    <row r="774" spans="1:9" ht="18.600000000000001" thickBot="1" x14ac:dyDescent="0.5">
      <c r="A774" s="96" t="s">
        <v>18</v>
      </c>
      <c r="B774" s="96"/>
      <c r="C774" s="96"/>
      <c r="D774" s="96"/>
      <c r="E774" s="14">
        <f t="shared" ref="E774" si="574">12*H758</f>
        <v>444</v>
      </c>
      <c r="F774" s="3"/>
    </row>
    <row r="775" spans="1:9" ht="18.600000000000001" thickBot="1" x14ac:dyDescent="0.5">
      <c r="A775" s="3"/>
      <c r="B775" s="3"/>
      <c r="C775" s="3"/>
      <c r="D775" s="3"/>
      <c r="E775" s="3"/>
      <c r="F775" s="3"/>
    </row>
    <row r="776" spans="1:9" ht="18.600000000000001" thickBot="1" x14ac:dyDescent="0.5">
      <c r="A776" s="12" t="s">
        <v>19</v>
      </c>
      <c r="B776" s="12"/>
      <c r="C776" s="12"/>
      <c r="D776" s="12"/>
      <c r="E776" s="15">
        <f t="shared" ref="E776" si="575">-((E773-E771)/E774)</f>
        <v>5.7813890198198203</v>
      </c>
      <c r="F776" s="3" t="s">
        <v>20</v>
      </c>
    </row>
    <row r="777" spans="1:9" x14ac:dyDescent="0.45">
      <c r="A777" s="3"/>
      <c r="B777" s="3"/>
      <c r="C777" s="3"/>
      <c r="D777" s="3"/>
      <c r="E777" s="3"/>
      <c r="F777" s="3"/>
    </row>
    <row r="778" spans="1:9" ht="18.600000000000001" thickBot="1" x14ac:dyDescent="0.5">
      <c r="A778" s="3"/>
      <c r="B778" s="3"/>
      <c r="D778" s="3"/>
      <c r="E778" s="3"/>
      <c r="F778" s="3"/>
    </row>
    <row r="779" spans="1:9" ht="18.600000000000001" thickBot="1" x14ac:dyDescent="0.5">
      <c r="A779" s="10" t="s">
        <v>4</v>
      </c>
      <c r="B779" s="3"/>
      <c r="C779" s="3"/>
      <c r="D779" s="3"/>
      <c r="E779" s="4" t="s">
        <v>1</v>
      </c>
      <c r="F779" s="4"/>
      <c r="G779" s="38" t="s">
        <v>508</v>
      </c>
      <c r="H779" s="42">
        <f t="shared" ref="H779" si="576">H758+1</f>
        <v>38</v>
      </c>
      <c r="I779" t="s">
        <v>509</v>
      </c>
    </row>
    <row r="780" spans="1:9" ht="18.600000000000001" thickBot="1" x14ac:dyDescent="0.5">
      <c r="A780" s="133" t="s">
        <v>5</v>
      </c>
      <c r="B780" s="133"/>
      <c r="C780" s="133"/>
      <c r="D780" s="133"/>
      <c r="E780" s="11" t="s">
        <v>0</v>
      </c>
      <c r="F780" s="3"/>
      <c r="G780" s="36" t="s">
        <v>464</v>
      </c>
      <c r="H780" s="37">
        <f t="shared" ref="H780:H785" si="577">H759</f>
        <v>3980</v>
      </c>
      <c r="I780" t="s">
        <v>465</v>
      </c>
    </row>
    <row r="781" spans="1:9" ht="18.600000000000001" thickBot="1" x14ac:dyDescent="0.5">
      <c r="A781" s="85"/>
      <c r="B781" s="87"/>
      <c r="C781" s="127" t="s">
        <v>3</v>
      </c>
      <c r="D781" s="128"/>
      <c r="E781" s="29">
        <f t="shared" ref="E781" si="578">IF(H783="",0,H783)</f>
        <v>0</v>
      </c>
      <c r="F781" s="3"/>
      <c r="G781" s="25" t="s">
        <v>466</v>
      </c>
      <c r="H781" s="43">
        <f t="shared" si="577"/>
        <v>0.65</v>
      </c>
      <c r="I781" t="s">
        <v>469</v>
      </c>
    </row>
    <row r="782" spans="1:9" ht="18.600000000000001" thickBot="1" x14ac:dyDescent="0.5">
      <c r="A782" s="86"/>
      <c r="B782" s="88"/>
      <c r="C782" s="127" t="s">
        <v>6</v>
      </c>
      <c r="D782" s="128"/>
      <c r="E782" s="19">
        <f>IF(H786="",$H$7*0.06,H786)</f>
        <v>238.79999999999998</v>
      </c>
      <c r="F782" s="3"/>
      <c r="G782" s="25" t="s">
        <v>467</v>
      </c>
      <c r="H782" s="37">
        <f t="shared" si="577"/>
        <v>35</v>
      </c>
      <c r="I782" t="s">
        <v>468</v>
      </c>
    </row>
    <row r="783" spans="1:9" ht="18.600000000000001" thickBot="1" x14ac:dyDescent="0.5">
      <c r="A783" s="86"/>
      <c r="B783" s="91" t="s">
        <v>7</v>
      </c>
      <c r="C783" s="92"/>
      <c r="D783" s="92"/>
      <c r="E783" s="19">
        <f t="shared" ref="E783" si="579">SUM(E781:E782)</f>
        <v>238.79999999999998</v>
      </c>
      <c r="F783" s="3"/>
      <c r="G783" s="28" t="s">
        <v>3</v>
      </c>
      <c r="H783" s="37">
        <f t="shared" si="577"/>
        <v>0</v>
      </c>
      <c r="I783" t="s">
        <v>465</v>
      </c>
    </row>
    <row r="784" spans="1:9" ht="18.600000000000001" thickBot="1" x14ac:dyDescent="0.5">
      <c r="A784" s="86"/>
      <c r="B784" s="7"/>
      <c r="C784" s="5" t="s">
        <v>8</v>
      </c>
      <c r="D784" s="5"/>
      <c r="E784" s="49">
        <f>_xlfn.SWITCH(H779,1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784" s="3"/>
      <c r="G784" s="28" t="s">
        <v>16</v>
      </c>
      <c r="H784" s="37">
        <f>真実の家賃!$I$8*AD40</f>
        <v>2507.4</v>
      </c>
      <c r="I784" t="s">
        <v>465</v>
      </c>
    </row>
    <row r="785" spans="1:9" ht="18.600000000000001" thickBot="1" x14ac:dyDescent="0.5">
      <c r="A785" s="86"/>
      <c r="B785" s="8"/>
      <c r="C785" s="127" t="s">
        <v>2</v>
      </c>
      <c r="D785" s="128"/>
      <c r="E785" s="19">
        <f t="shared" ref="E785" si="580">IF(H787="",H779*15,H787)</f>
        <v>570</v>
      </c>
      <c r="F785" s="3"/>
      <c r="G785" s="56" t="s">
        <v>573</v>
      </c>
      <c r="H785" s="40" t="str">
        <f t="shared" si="577"/>
        <v/>
      </c>
      <c r="I785" t="s">
        <v>465</v>
      </c>
    </row>
    <row r="786" spans="1:9" ht="18.600000000000001" thickBot="1" x14ac:dyDescent="0.5">
      <c r="A786" s="86"/>
      <c r="B786" s="8"/>
      <c r="C786" s="129" t="s">
        <v>9</v>
      </c>
      <c r="D786" s="129"/>
      <c r="E786" s="19">
        <f t="shared" ref="E786" si="581">_xlfn.SWITCH(H779,1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786" s="3"/>
      <c r="G786" s="34" t="s">
        <v>6</v>
      </c>
      <c r="H786" s="40" t="str">
        <f t="shared" si="545"/>
        <v/>
      </c>
      <c r="I786" t="s">
        <v>465</v>
      </c>
    </row>
    <row r="787" spans="1:9" ht="18.600000000000001" thickBot="1" x14ac:dyDescent="0.5">
      <c r="A787" s="86"/>
      <c r="B787" s="8"/>
      <c r="C787" s="130" t="s">
        <v>10</v>
      </c>
      <c r="D787" s="131"/>
      <c r="E787" s="19">
        <f t="shared" ref="E787" si="582">IF(H785="",$AA$3,H779*H785)</f>
        <v>0</v>
      </c>
      <c r="F787" s="3"/>
      <c r="G787" s="28" t="s">
        <v>560</v>
      </c>
      <c r="H787" s="40" t="str">
        <f t="shared" si="545"/>
        <v/>
      </c>
      <c r="I787" t="s">
        <v>465</v>
      </c>
    </row>
    <row r="788" spans="1:9" ht="18.600000000000001" thickBot="1" x14ac:dyDescent="0.5">
      <c r="A788" s="86"/>
      <c r="B788" s="132" t="s">
        <v>11</v>
      </c>
      <c r="C788" s="126"/>
      <c r="D788" s="126"/>
      <c r="E788" s="19">
        <f t="shared" ref="E788" si="583">SUM(E784:E787)</f>
        <v>4725.1667248000003</v>
      </c>
      <c r="F788" s="3"/>
      <c r="G788" s="33" t="s">
        <v>561</v>
      </c>
      <c r="H788" s="41" t="str">
        <f t="shared" si="545"/>
        <v/>
      </c>
      <c r="I788" t="s">
        <v>465</v>
      </c>
    </row>
    <row r="789" spans="1:9" ht="18.600000000000001" thickBot="1" x14ac:dyDescent="0.5">
      <c r="A789" s="86"/>
      <c r="B789" s="7"/>
      <c r="C789" s="127" t="s">
        <v>12</v>
      </c>
      <c r="D789" s="128"/>
      <c r="E789" s="19">
        <f t="shared" ref="E789" si="584">_xlfn.SWITCH(H779,1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789" s="3"/>
      <c r="G789" s="32"/>
    </row>
    <row r="790" spans="1:9" ht="18.600000000000001" thickBot="1" x14ac:dyDescent="0.5">
      <c r="A790" s="86"/>
      <c r="B790" s="8"/>
      <c r="C790" s="127" t="s">
        <v>13</v>
      </c>
      <c r="D790" s="128"/>
      <c r="E790" s="19">
        <f t="shared" ref="E790" si="585">IF(H788="",H784*0.05,H788)</f>
        <v>125.37</v>
      </c>
      <c r="F790" s="3"/>
      <c r="G790" s="30"/>
    </row>
    <row r="791" spans="1:9" ht="18.600000000000001" thickBot="1" x14ac:dyDescent="0.5">
      <c r="A791" s="86"/>
      <c r="B791" s="132" t="s">
        <v>14</v>
      </c>
      <c r="C791" s="126"/>
      <c r="D791" s="126"/>
      <c r="E791" s="19">
        <f t="shared" ref="E791" si="586">SUM(E789:E790)</f>
        <v>125.37</v>
      </c>
      <c r="F791" s="3"/>
      <c r="G791" s="30"/>
    </row>
    <row r="792" spans="1:9" ht="18.600000000000001" thickBot="1" x14ac:dyDescent="0.5">
      <c r="A792" s="97" t="s">
        <v>15</v>
      </c>
      <c r="B792" s="98"/>
      <c r="C792" s="98"/>
      <c r="D792" s="99"/>
      <c r="E792" s="20">
        <f t="shared" ref="E792" si="587">E783+E788+E791</f>
        <v>5089.3367248000004</v>
      </c>
      <c r="F792" s="3"/>
      <c r="G792" s="30"/>
    </row>
    <row r="793" spans="1:9" ht="18.600000000000001" thickBot="1" x14ac:dyDescent="0.5">
      <c r="A793" s="6"/>
      <c r="B793" s="126" t="s">
        <v>16</v>
      </c>
      <c r="C793" s="126"/>
      <c r="D793" s="126"/>
      <c r="E793" s="19">
        <f t="shared" ref="E793" si="588">H784</f>
        <v>2507.4</v>
      </c>
      <c r="F793" s="3"/>
    </row>
    <row r="794" spans="1:9" ht="18.600000000000001" thickBot="1" x14ac:dyDescent="0.5">
      <c r="A794" s="97" t="s">
        <v>17</v>
      </c>
      <c r="B794" s="98"/>
      <c r="C794" s="98"/>
      <c r="D794" s="99"/>
      <c r="E794" s="20">
        <f t="shared" ref="E794" si="589">E793</f>
        <v>2507.4</v>
      </c>
      <c r="F794" s="3"/>
    </row>
    <row r="795" spans="1:9" ht="18.600000000000001" thickBot="1" x14ac:dyDescent="0.5">
      <c r="A795" s="96" t="s">
        <v>18</v>
      </c>
      <c r="B795" s="96"/>
      <c r="C795" s="96"/>
      <c r="D795" s="96"/>
      <c r="E795" s="14">
        <f t="shared" ref="E795" si="590">12*H779</f>
        <v>456</v>
      </c>
      <c r="F795" s="3"/>
    </row>
    <row r="796" spans="1:9" ht="18.600000000000001" thickBot="1" x14ac:dyDescent="0.5">
      <c r="A796" s="3"/>
      <c r="B796" s="3"/>
      <c r="C796" s="3"/>
      <c r="D796" s="3"/>
      <c r="E796" s="3"/>
      <c r="F796" s="3"/>
    </row>
    <row r="797" spans="1:9" ht="18.600000000000001" thickBot="1" x14ac:dyDescent="0.5">
      <c r="A797" s="12" t="s">
        <v>19</v>
      </c>
      <c r="B797" s="12"/>
      <c r="C797" s="12"/>
      <c r="D797" s="12"/>
      <c r="E797" s="15">
        <f t="shared" ref="E797" si="591">-((E794-E792)/E795)</f>
        <v>5.6621419403508781</v>
      </c>
      <c r="F797" s="3" t="s">
        <v>20</v>
      </c>
    </row>
    <row r="798" spans="1:9" x14ac:dyDescent="0.45">
      <c r="A798" s="3"/>
      <c r="B798" s="3"/>
      <c r="C798" s="3"/>
      <c r="D798" s="3"/>
      <c r="E798" s="3"/>
      <c r="F798" s="3"/>
    </row>
    <row r="799" spans="1:9" ht="18.600000000000001" thickBot="1" x14ac:dyDescent="0.5">
      <c r="A799" s="3"/>
      <c r="B799" s="3"/>
      <c r="D799" s="3"/>
      <c r="E799" s="3"/>
      <c r="F799" s="3"/>
    </row>
    <row r="800" spans="1:9" ht="18.600000000000001" thickBot="1" x14ac:dyDescent="0.5">
      <c r="A800" s="10" t="s">
        <v>4</v>
      </c>
      <c r="B800" s="3"/>
      <c r="C800" s="3"/>
      <c r="D800" s="3"/>
      <c r="E800" s="4" t="s">
        <v>1</v>
      </c>
      <c r="F800" s="4"/>
      <c r="G800" s="38" t="s">
        <v>508</v>
      </c>
      <c r="H800" s="42">
        <f t="shared" ref="H800" si="592">H779+1</f>
        <v>39</v>
      </c>
      <c r="I800" t="s">
        <v>509</v>
      </c>
    </row>
    <row r="801" spans="1:9" ht="18.600000000000001" thickBot="1" x14ac:dyDescent="0.5">
      <c r="A801" s="133" t="s">
        <v>5</v>
      </c>
      <c r="B801" s="133"/>
      <c r="C801" s="133"/>
      <c r="D801" s="133"/>
      <c r="E801" s="11" t="s">
        <v>0</v>
      </c>
      <c r="F801" s="3"/>
      <c r="G801" s="36" t="s">
        <v>464</v>
      </c>
      <c r="H801" s="37">
        <f t="shared" ref="H801:H806" si="593">H780</f>
        <v>3980</v>
      </c>
      <c r="I801" t="s">
        <v>465</v>
      </c>
    </row>
    <row r="802" spans="1:9" ht="18.600000000000001" thickBot="1" x14ac:dyDescent="0.5">
      <c r="A802" s="85"/>
      <c r="B802" s="87"/>
      <c r="C802" s="127" t="s">
        <v>3</v>
      </c>
      <c r="D802" s="128"/>
      <c r="E802" s="29">
        <f t="shared" ref="E802" si="594">IF(H804="",0,H804)</f>
        <v>0</v>
      </c>
      <c r="F802" s="3"/>
      <c r="G802" s="25" t="s">
        <v>466</v>
      </c>
      <c r="H802" s="43">
        <f t="shared" si="593"/>
        <v>0.65</v>
      </c>
      <c r="I802" t="s">
        <v>469</v>
      </c>
    </row>
    <row r="803" spans="1:9" ht="18.600000000000001" thickBot="1" x14ac:dyDescent="0.5">
      <c r="A803" s="86"/>
      <c r="B803" s="88"/>
      <c r="C803" s="127" t="s">
        <v>6</v>
      </c>
      <c r="D803" s="128"/>
      <c r="E803" s="19">
        <f>IF(H807="",$H$7*0.06,H807)</f>
        <v>238.79999999999998</v>
      </c>
      <c r="F803" s="3"/>
      <c r="G803" s="25" t="s">
        <v>467</v>
      </c>
      <c r="H803" s="37">
        <f t="shared" si="593"/>
        <v>35</v>
      </c>
      <c r="I803" t="s">
        <v>468</v>
      </c>
    </row>
    <row r="804" spans="1:9" ht="18.600000000000001" thickBot="1" x14ac:dyDescent="0.5">
      <c r="A804" s="86"/>
      <c r="B804" s="91" t="s">
        <v>7</v>
      </c>
      <c r="C804" s="92"/>
      <c r="D804" s="92"/>
      <c r="E804" s="19">
        <f t="shared" ref="E804" si="595">SUM(E802:E803)</f>
        <v>238.79999999999998</v>
      </c>
      <c r="F804" s="3"/>
      <c r="G804" s="28" t="s">
        <v>3</v>
      </c>
      <c r="H804" s="37">
        <f t="shared" si="593"/>
        <v>0</v>
      </c>
      <c r="I804" t="s">
        <v>465</v>
      </c>
    </row>
    <row r="805" spans="1:9" ht="18.600000000000001" thickBot="1" x14ac:dyDescent="0.5">
      <c r="A805" s="86"/>
      <c r="B805" s="7"/>
      <c r="C805" s="5" t="s">
        <v>8</v>
      </c>
      <c r="D805" s="5"/>
      <c r="E805" s="49">
        <f>_xlfn.SWITCH(H800,1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805" s="3"/>
      <c r="G805" s="28" t="s">
        <v>16</v>
      </c>
      <c r="H805" s="37">
        <f>真実の家賃!$I$8*AD41</f>
        <v>2507.4</v>
      </c>
      <c r="I805" t="s">
        <v>465</v>
      </c>
    </row>
    <row r="806" spans="1:9" ht="18.600000000000001" thickBot="1" x14ac:dyDescent="0.5">
      <c r="A806" s="86"/>
      <c r="B806" s="8"/>
      <c r="C806" s="127" t="s">
        <v>2</v>
      </c>
      <c r="D806" s="128"/>
      <c r="E806" s="19">
        <f t="shared" ref="E806" si="596">IF(H808="",H800*15,H808)</f>
        <v>585</v>
      </c>
      <c r="F806" s="3"/>
      <c r="G806" s="56" t="s">
        <v>573</v>
      </c>
      <c r="H806" s="40" t="str">
        <f t="shared" si="593"/>
        <v/>
      </c>
      <c r="I806" t="s">
        <v>465</v>
      </c>
    </row>
    <row r="807" spans="1:9" ht="18.600000000000001" thickBot="1" x14ac:dyDescent="0.5">
      <c r="A807" s="86"/>
      <c r="B807" s="8"/>
      <c r="C807" s="129" t="s">
        <v>9</v>
      </c>
      <c r="D807" s="129"/>
      <c r="E807" s="19">
        <f t="shared" ref="E807" si="597">_xlfn.SWITCH(H800,1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807" s="3"/>
      <c r="G807" s="34" t="s">
        <v>6</v>
      </c>
      <c r="H807" s="40" t="str">
        <f t="shared" si="561"/>
        <v/>
      </c>
      <c r="I807" t="s">
        <v>465</v>
      </c>
    </row>
    <row r="808" spans="1:9" ht="18.600000000000001" thickBot="1" x14ac:dyDescent="0.5">
      <c r="A808" s="86"/>
      <c r="B808" s="8"/>
      <c r="C808" s="130" t="s">
        <v>10</v>
      </c>
      <c r="D808" s="131"/>
      <c r="E808" s="19">
        <f t="shared" ref="E808" si="598">IF(H806="",$AA$3,H800*H806)</f>
        <v>0</v>
      </c>
      <c r="F808" s="3"/>
      <c r="G808" s="28" t="s">
        <v>560</v>
      </c>
      <c r="H808" s="40" t="str">
        <f t="shared" si="561"/>
        <v/>
      </c>
      <c r="I808" t="s">
        <v>465</v>
      </c>
    </row>
    <row r="809" spans="1:9" ht="18.600000000000001" thickBot="1" x14ac:dyDescent="0.5">
      <c r="A809" s="86"/>
      <c r="B809" s="132" t="s">
        <v>11</v>
      </c>
      <c r="C809" s="126"/>
      <c r="D809" s="126"/>
      <c r="E809" s="19">
        <f t="shared" ref="E809" si="599">SUM(E805:E808)</f>
        <v>4740.1667248000003</v>
      </c>
      <c r="F809" s="3"/>
      <c r="G809" s="33" t="s">
        <v>561</v>
      </c>
      <c r="H809" s="41" t="str">
        <f t="shared" si="561"/>
        <v/>
      </c>
      <c r="I809" t="s">
        <v>465</v>
      </c>
    </row>
    <row r="810" spans="1:9" ht="18.600000000000001" thickBot="1" x14ac:dyDescent="0.5">
      <c r="A810" s="86"/>
      <c r="B810" s="7"/>
      <c r="C810" s="127" t="s">
        <v>12</v>
      </c>
      <c r="D810" s="128"/>
      <c r="E810" s="19">
        <f t="shared" ref="E810" si="600">_xlfn.SWITCH(H800,1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810" s="3"/>
      <c r="G810" s="32"/>
    </row>
    <row r="811" spans="1:9" ht="18.600000000000001" thickBot="1" x14ac:dyDescent="0.5">
      <c r="A811" s="86"/>
      <c r="B811" s="8"/>
      <c r="C811" s="127" t="s">
        <v>13</v>
      </c>
      <c r="D811" s="128"/>
      <c r="E811" s="19">
        <f t="shared" ref="E811" si="601">IF(H809="",H805*0.05,H809)</f>
        <v>125.37</v>
      </c>
      <c r="F811" s="3"/>
      <c r="G811" s="30"/>
    </row>
    <row r="812" spans="1:9" ht="18.600000000000001" thickBot="1" x14ac:dyDescent="0.5">
      <c r="A812" s="86"/>
      <c r="B812" s="132" t="s">
        <v>14</v>
      </c>
      <c r="C812" s="126"/>
      <c r="D812" s="126"/>
      <c r="E812" s="19">
        <f t="shared" ref="E812" si="602">SUM(E810:E811)</f>
        <v>125.37</v>
      </c>
      <c r="F812" s="3"/>
      <c r="G812" s="30"/>
    </row>
    <row r="813" spans="1:9" ht="18.600000000000001" thickBot="1" x14ac:dyDescent="0.5">
      <c r="A813" s="97" t="s">
        <v>15</v>
      </c>
      <c r="B813" s="98"/>
      <c r="C813" s="98"/>
      <c r="D813" s="99"/>
      <c r="E813" s="20">
        <f t="shared" ref="E813" si="603">E804+E809+E812</f>
        <v>5104.3367248000004</v>
      </c>
      <c r="F813" s="3"/>
      <c r="G813" s="30"/>
    </row>
    <row r="814" spans="1:9" ht="18.600000000000001" thickBot="1" x14ac:dyDescent="0.5">
      <c r="A814" s="6"/>
      <c r="B814" s="126" t="s">
        <v>16</v>
      </c>
      <c r="C814" s="126"/>
      <c r="D814" s="126"/>
      <c r="E814" s="19">
        <f t="shared" ref="E814" si="604">H805</f>
        <v>2507.4</v>
      </c>
      <c r="F814" s="3"/>
    </row>
    <row r="815" spans="1:9" ht="18.600000000000001" thickBot="1" x14ac:dyDescent="0.5">
      <c r="A815" s="97" t="s">
        <v>17</v>
      </c>
      <c r="B815" s="98"/>
      <c r="C815" s="98"/>
      <c r="D815" s="99"/>
      <c r="E815" s="20">
        <f t="shared" ref="E815" si="605">E814</f>
        <v>2507.4</v>
      </c>
      <c r="F815" s="3"/>
    </row>
    <row r="816" spans="1:9" ht="18.600000000000001" thickBot="1" x14ac:dyDescent="0.5">
      <c r="A816" s="96" t="s">
        <v>18</v>
      </c>
      <c r="B816" s="96"/>
      <c r="C816" s="96"/>
      <c r="D816" s="96"/>
      <c r="E816" s="14">
        <f t="shared" ref="E816" si="606">12*H800</f>
        <v>468</v>
      </c>
      <c r="F816" s="3"/>
    </row>
    <row r="817" spans="1:9" ht="18.600000000000001" thickBot="1" x14ac:dyDescent="0.5">
      <c r="A817" s="3"/>
      <c r="B817" s="3"/>
      <c r="C817" s="3"/>
      <c r="D817" s="3"/>
      <c r="E817" s="3"/>
      <c r="F817" s="3"/>
    </row>
    <row r="818" spans="1:9" ht="18.600000000000001" thickBot="1" x14ac:dyDescent="0.5">
      <c r="A818" s="12" t="s">
        <v>19</v>
      </c>
      <c r="B818" s="12"/>
      <c r="C818" s="12"/>
      <c r="D818" s="12"/>
      <c r="E818" s="15">
        <f t="shared" ref="E818" si="607">-((E815-E813)/E816)</f>
        <v>5.5490100957264961</v>
      </c>
      <c r="F818" s="3" t="s">
        <v>20</v>
      </c>
    </row>
    <row r="819" spans="1:9" x14ac:dyDescent="0.45">
      <c r="A819" s="3"/>
      <c r="B819" s="3"/>
      <c r="C819" s="3"/>
      <c r="D819" s="3"/>
      <c r="E819" s="3"/>
      <c r="F819" s="3"/>
    </row>
    <row r="820" spans="1:9" ht="18.600000000000001" thickBot="1" x14ac:dyDescent="0.5">
      <c r="A820" s="3"/>
      <c r="B820" s="3"/>
      <c r="D820" s="3"/>
      <c r="E820" s="3"/>
      <c r="F820" s="3"/>
    </row>
    <row r="821" spans="1:9" ht="18.600000000000001" thickBot="1" x14ac:dyDescent="0.5">
      <c r="A821" s="10" t="s">
        <v>4</v>
      </c>
      <c r="B821" s="3"/>
      <c r="C821" s="3"/>
      <c r="D821" s="3"/>
      <c r="E821" s="4" t="s">
        <v>1</v>
      </c>
      <c r="F821" s="4"/>
      <c r="G821" s="38" t="s">
        <v>508</v>
      </c>
      <c r="H821" s="42">
        <f t="shared" ref="H821" si="608">H800+1</f>
        <v>40</v>
      </c>
      <c r="I821" t="s">
        <v>509</v>
      </c>
    </row>
    <row r="822" spans="1:9" ht="18.600000000000001" thickBot="1" x14ac:dyDescent="0.5">
      <c r="A822" s="133" t="s">
        <v>5</v>
      </c>
      <c r="B822" s="133"/>
      <c r="C822" s="133"/>
      <c r="D822" s="133"/>
      <c r="E822" s="11" t="s">
        <v>0</v>
      </c>
      <c r="F822" s="3"/>
      <c r="G822" s="36" t="s">
        <v>464</v>
      </c>
      <c r="H822" s="37">
        <f t="shared" ref="H822:H872" si="609">H801</f>
        <v>3980</v>
      </c>
      <c r="I822" t="s">
        <v>465</v>
      </c>
    </row>
    <row r="823" spans="1:9" ht="18.600000000000001" thickBot="1" x14ac:dyDescent="0.5">
      <c r="A823" s="85"/>
      <c r="B823" s="87"/>
      <c r="C823" s="127" t="s">
        <v>3</v>
      </c>
      <c r="D823" s="128"/>
      <c r="E823" s="29">
        <f t="shared" ref="E823" si="610">IF(H825="",0,H825)</f>
        <v>0</v>
      </c>
      <c r="F823" s="3"/>
      <c r="G823" s="25" t="s">
        <v>466</v>
      </c>
      <c r="H823" s="43">
        <f t="shared" si="609"/>
        <v>0.65</v>
      </c>
      <c r="I823" t="s">
        <v>469</v>
      </c>
    </row>
    <row r="824" spans="1:9" ht="18.600000000000001" thickBot="1" x14ac:dyDescent="0.5">
      <c r="A824" s="86"/>
      <c r="B824" s="88"/>
      <c r="C824" s="127" t="s">
        <v>6</v>
      </c>
      <c r="D824" s="128"/>
      <c r="E824" s="19">
        <f>IF(H828="",$H$7*0.06,H828)</f>
        <v>238.79999999999998</v>
      </c>
      <c r="F824" s="3"/>
      <c r="G824" s="25" t="s">
        <v>467</v>
      </c>
      <c r="H824" s="37">
        <f t="shared" si="609"/>
        <v>35</v>
      </c>
      <c r="I824" t="s">
        <v>468</v>
      </c>
    </row>
    <row r="825" spans="1:9" ht="18.600000000000001" thickBot="1" x14ac:dyDescent="0.5">
      <c r="A825" s="86"/>
      <c r="B825" s="91" t="s">
        <v>7</v>
      </c>
      <c r="C825" s="92"/>
      <c r="D825" s="92"/>
      <c r="E825" s="19">
        <f t="shared" ref="E825" si="611">SUM(E823:E824)</f>
        <v>238.79999999999998</v>
      </c>
      <c r="F825" s="3"/>
      <c r="G825" s="28" t="s">
        <v>3</v>
      </c>
      <c r="H825" s="37">
        <f t="shared" si="609"/>
        <v>0</v>
      </c>
      <c r="I825" t="s">
        <v>465</v>
      </c>
    </row>
    <row r="826" spans="1:9" ht="18.600000000000001" thickBot="1" x14ac:dyDescent="0.5">
      <c r="A826" s="86"/>
      <c r="B826" s="7"/>
      <c r="C826" s="5" t="s">
        <v>8</v>
      </c>
      <c r="D826" s="5"/>
      <c r="E826" s="49">
        <f>_xlfn.SWITCH(H821,1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826" s="3"/>
      <c r="G826" s="28" t="s">
        <v>16</v>
      </c>
      <c r="H826" s="37">
        <f>真実の家賃!$I$8*AD42</f>
        <v>2507.4</v>
      </c>
      <c r="I826" t="s">
        <v>465</v>
      </c>
    </row>
    <row r="827" spans="1:9" ht="18.600000000000001" thickBot="1" x14ac:dyDescent="0.5">
      <c r="A827" s="86"/>
      <c r="B827" s="8"/>
      <c r="C827" s="127" t="s">
        <v>2</v>
      </c>
      <c r="D827" s="128"/>
      <c r="E827" s="19">
        <f t="shared" ref="E827" si="612">IF(H829="",H821*15,H829)</f>
        <v>600</v>
      </c>
      <c r="F827" s="3"/>
      <c r="G827" s="56" t="s">
        <v>573</v>
      </c>
      <c r="H827" s="40" t="str">
        <f t="shared" si="609"/>
        <v/>
      </c>
      <c r="I827" t="s">
        <v>465</v>
      </c>
    </row>
    <row r="828" spans="1:9" ht="18.600000000000001" thickBot="1" x14ac:dyDescent="0.5">
      <c r="A828" s="86"/>
      <c r="B828" s="8"/>
      <c r="C828" s="129" t="s">
        <v>9</v>
      </c>
      <c r="D828" s="129"/>
      <c r="E828" s="19">
        <f t="shared" ref="E828" si="613">_xlfn.SWITCH(H821,1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828" s="3"/>
      <c r="G828" s="34" t="s">
        <v>6</v>
      </c>
      <c r="H828" s="40" t="str">
        <f t="shared" si="609"/>
        <v/>
      </c>
      <c r="I828" t="s">
        <v>465</v>
      </c>
    </row>
    <row r="829" spans="1:9" ht="18.600000000000001" thickBot="1" x14ac:dyDescent="0.5">
      <c r="A829" s="86"/>
      <c r="B829" s="8"/>
      <c r="C829" s="130" t="s">
        <v>10</v>
      </c>
      <c r="D829" s="131"/>
      <c r="E829" s="19">
        <f t="shared" ref="E829" si="614">IF(H827="",$AA$3,H821*H827)</f>
        <v>0</v>
      </c>
      <c r="F829" s="3"/>
      <c r="G829" s="28" t="s">
        <v>560</v>
      </c>
      <c r="H829" s="40" t="str">
        <f t="shared" si="609"/>
        <v/>
      </c>
      <c r="I829" t="s">
        <v>465</v>
      </c>
    </row>
    <row r="830" spans="1:9" ht="18.600000000000001" thickBot="1" x14ac:dyDescent="0.5">
      <c r="A830" s="86"/>
      <c r="B830" s="132" t="s">
        <v>11</v>
      </c>
      <c r="C830" s="126"/>
      <c r="D830" s="126"/>
      <c r="E830" s="19">
        <f t="shared" ref="E830" si="615">SUM(E826:E829)</f>
        <v>4755.1667248000003</v>
      </c>
      <c r="F830" s="3"/>
      <c r="G830" s="33" t="s">
        <v>561</v>
      </c>
      <c r="H830" s="41" t="str">
        <f t="shared" si="609"/>
        <v/>
      </c>
      <c r="I830" t="s">
        <v>465</v>
      </c>
    </row>
    <row r="831" spans="1:9" ht="18.600000000000001" thickBot="1" x14ac:dyDescent="0.5">
      <c r="A831" s="86"/>
      <c r="B831" s="7"/>
      <c r="C831" s="127" t="s">
        <v>12</v>
      </c>
      <c r="D831" s="128"/>
      <c r="E831" s="19">
        <f t="shared" ref="E831" si="616">_xlfn.SWITCH(H821,1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831" s="3"/>
      <c r="G831" s="32"/>
    </row>
    <row r="832" spans="1:9" ht="18.600000000000001" thickBot="1" x14ac:dyDescent="0.5">
      <c r="A832" s="86"/>
      <c r="B832" s="8"/>
      <c r="C832" s="127" t="s">
        <v>13</v>
      </c>
      <c r="D832" s="128"/>
      <c r="E832" s="19">
        <f t="shared" ref="E832" si="617">IF(H830="",H826*0.05,H830)</f>
        <v>125.37</v>
      </c>
      <c r="F832" s="3"/>
      <c r="G832" s="30"/>
    </row>
    <row r="833" spans="1:9" ht="18.600000000000001" thickBot="1" x14ac:dyDescent="0.5">
      <c r="A833" s="86"/>
      <c r="B833" s="132" t="s">
        <v>14</v>
      </c>
      <c r="C833" s="126"/>
      <c r="D833" s="126"/>
      <c r="E833" s="19">
        <f t="shared" ref="E833" si="618">SUM(E831:E832)</f>
        <v>125.37</v>
      </c>
      <c r="F833" s="3"/>
      <c r="G833" s="30"/>
    </row>
    <row r="834" spans="1:9" ht="18.600000000000001" thickBot="1" x14ac:dyDescent="0.5">
      <c r="A834" s="97" t="s">
        <v>15</v>
      </c>
      <c r="B834" s="98"/>
      <c r="C834" s="98"/>
      <c r="D834" s="99"/>
      <c r="E834" s="20">
        <f t="shared" ref="E834" si="619">E825+E830+E833</f>
        <v>5119.3367248000004</v>
      </c>
      <c r="F834" s="3"/>
      <c r="G834" s="30"/>
    </row>
    <row r="835" spans="1:9" ht="18.600000000000001" thickBot="1" x14ac:dyDescent="0.5">
      <c r="A835" s="6"/>
      <c r="B835" s="126" t="s">
        <v>16</v>
      </c>
      <c r="C835" s="126"/>
      <c r="D835" s="126"/>
      <c r="E835" s="19">
        <f t="shared" ref="E835" si="620">H826</f>
        <v>2507.4</v>
      </c>
      <c r="F835" s="3"/>
    </row>
    <row r="836" spans="1:9" ht="18.600000000000001" thickBot="1" x14ac:dyDescent="0.5">
      <c r="A836" s="97" t="s">
        <v>17</v>
      </c>
      <c r="B836" s="98"/>
      <c r="C836" s="98"/>
      <c r="D836" s="99"/>
      <c r="E836" s="20">
        <f t="shared" ref="E836" si="621">E835</f>
        <v>2507.4</v>
      </c>
      <c r="F836" s="3"/>
    </row>
    <row r="837" spans="1:9" ht="18.600000000000001" thickBot="1" x14ac:dyDescent="0.5">
      <c r="A837" s="96" t="s">
        <v>18</v>
      </c>
      <c r="B837" s="96"/>
      <c r="C837" s="96"/>
      <c r="D837" s="96"/>
      <c r="E837" s="14">
        <f t="shared" ref="E837" si="622">12*H821</f>
        <v>480</v>
      </c>
      <c r="F837" s="3"/>
    </row>
    <row r="838" spans="1:9" ht="18.600000000000001" thickBot="1" x14ac:dyDescent="0.5">
      <c r="A838" s="3"/>
      <c r="B838" s="3"/>
      <c r="C838" s="3"/>
      <c r="D838" s="3"/>
      <c r="E838" s="3"/>
      <c r="F838" s="3"/>
    </row>
    <row r="839" spans="1:9" ht="18.600000000000001" thickBot="1" x14ac:dyDescent="0.5">
      <c r="A839" s="12" t="s">
        <v>19</v>
      </c>
      <c r="B839" s="12"/>
      <c r="C839" s="12"/>
      <c r="D839" s="12"/>
      <c r="E839" s="15">
        <f t="shared" ref="E839" si="623">-((E836-E834)/E837)</f>
        <v>5.4415348433333337</v>
      </c>
      <c r="F839" s="3" t="s">
        <v>20</v>
      </c>
    </row>
    <row r="840" spans="1:9" x14ac:dyDescent="0.45">
      <c r="A840" s="3"/>
      <c r="B840" s="3"/>
      <c r="C840" s="3"/>
      <c r="D840" s="3"/>
      <c r="E840" s="3"/>
      <c r="F840" s="3"/>
    </row>
    <row r="841" spans="1:9" ht="18.600000000000001" thickBot="1" x14ac:dyDescent="0.5">
      <c r="A841" s="3"/>
      <c r="B841" s="3"/>
      <c r="D841" s="3"/>
      <c r="E841" s="3"/>
      <c r="F841" s="3"/>
    </row>
    <row r="842" spans="1:9" ht="18.600000000000001" thickBot="1" x14ac:dyDescent="0.5">
      <c r="A842" s="10" t="s">
        <v>4</v>
      </c>
      <c r="B842" s="3"/>
      <c r="C842" s="3"/>
      <c r="D842" s="3"/>
      <c r="E842" s="4" t="s">
        <v>1</v>
      </c>
      <c r="F842" s="4"/>
      <c r="G842" s="38" t="s">
        <v>508</v>
      </c>
      <c r="H842" s="42">
        <f t="shared" ref="H842" si="624">H821+1</f>
        <v>41</v>
      </c>
      <c r="I842" t="s">
        <v>509</v>
      </c>
    </row>
    <row r="843" spans="1:9" ht="18.600000000000001" thickBot="1" x14ac:dyDescent="0.5">
      <c r="A843" s="133" t="s">
        <v>5</v>
      </c>
      <c r="B843" s="133"/>
      <c r="C843" s="133"/>
      <c r="D843" s="133"/>
      <c r="E843" s="11" t="s">
        <v>0</v>
      </c>
      <c r="F843" s="3"/>
      <c r="G843" s="36" t="s">
        <v>464</v>
      </c>
      <c r="H843" s="37">
        <f t="shared" ref="H843:H893" si="625">H822</f>
        <v>3980</v>
      </c>
      <c r="I843" t="s">
        <v>465</v>
      </c>
    </row>
    <row r="844" spans="1:9" ht="18.600000000000001" thickBot="1" x14ac:dyDescent="0.5">
      <c r="A844" s="85"/>
      <c r="B844" s="87"/>
      <c r="C844" s="127" t="s">
        <v>3</v>
      </c>
      <c r="D844" s="128"/>
      <c r="E844" s="29">
        <f t="shared" ref="E844" si="626">IF(H846="",0,H846)</f>
        <v>0</v>
      </c>
      <c r="F844" s="3"/>
      <c r="G844" s="25" t="s">
        <v>466</v>
      </c>
      <c r="H844" s="43">
        <f t="shared" si="625"/>
        <v>0.65</v>
      </c>
      <c r="I844" t="s">
        <v>469</v>
      </c>
    </row>
    <row r="845" spans="1:9" ht="18.600000000000001" thickBot="1" x14ac:dyDescent="0.5">
      <c r="A845" s="86"/>
      <c r="B845" s="88"/>
      <c r="C845" s="127" t="s">
        <v>6</v>
      </c>
      <c r="D845" s="128"/>
      <c r="E845" s="19">
        <f>IF(H849="",$H$7*0.06,H849)</f>
        <v>238.79999999999998</v>
      </c>
      <c r="F845" s="3"/>
      <c r="G845" s="25" t="s">
        <v>467</v>
      </c>
      <c r="H845" s="37">
        <f t="shared" si="625"/>
        <v>35</v>
      </c>
      <c r="I845" t="s">
        <v>468</v>
      </c>
    </row>
    <row r="846" spans="1:9" ht="18.600000000000001" thickBot="1" x14ac:dyDescent="0.5">
      <c r="A846" s="86"/>
      <c r="B846" s="91" t="s">
        <v>7</v>
      </c>
      <c r="C846" s="92"/>
      <c r="D846" s="92"/>
      <c r="E846" s="19">
        <f t="shared" ref="E846" si="627">SUM(E844:E845)</f>
        <v>238.79999999999998</v>
      </c>
      <c r="F846" s="3"/>
      <c r="G846" s="28" t="s">
        <v>3</v>
      </c>
      <c r="H846" s="37">
        <f t="shared" si="625"/>
        <v>0</v>
      </c>
      <c r="I846" t="s">
        <v>465</v>
      </c>
    </row>
    <row r="847" spans="1:9" ht="18.600000000000001" thickBot="1" x14ac:dyDescent="0.5">
      <c r="A847" s="86"/>
      <c r="B847" s="7"/>
      <c r="C847" s="5" t="s">
        <v>8</v>
      </c>
      <c r="D847" s="5"/>
      <c r="E847" s="49">
        <f>_xlfn.SWITCH(H842,1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847" s="3"/>
      <c r="G847" s="28" t="s">
        <v>16</v>
      </c>
      <c r="H847" s="37">
        <f>真実の家賃!$I$8*AD43</f>
        <v>2507.4</v>
      </c>
      <c r="I847" t="s">
        <v>465</v>
      </c>
    </row>
    <row r="848" spans="1:9" ht="18.600000000000001" thickBot="1" x14ac:dyDescent="0.5">
      <c r="A848" s="86"/>
      <c r="B848" s="8"/>
      <c r="C848" s="127" t="s">
        <v>2</v>
      </c>
      <c r="D848" s="128"/>
      <c r="E848" s="19">
        <f t="shared" ref="E848" si="628">IF(H850="",H842*15,H850)</f>
        <v>615</v>
      </c>
      <c r="F848" s="3"/>
      <c r="G848" s="56" t="s">
        <v>573</v>
      </c>
      <c r="H848" s="40" t="str">
        <f t="shared" si="625"/>
        <v/>
      </c>
      <c r="I848" t="s">
        <v>465</v>
      </c>
    </row>
    <row r="849" spans="1:9" ht="18.600000000000001" thickBot="1" x14ac:dyDescent="0.5">
      <c r="A849" s="86"/>
      <c r="B849" s="8"/>
      <c r="C849" s="129" t="s">
        <v>9</v>
      </c>
      <c r="D849" s="129"/>
      <c r="E849" s="19">
        <f t="shared" ref="E849" si="629">_xlfn.SWITCH(H842,1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849" s="3"/>
      <c r="G849" s="34" t="s">
        <v>6</v>
      </c>
      <c r="H849" s="40" t="str">
        <f t="shared" si="625"/>
        <v/>
      </c>
      <c r="I849" t="s">
        <v>465</v>
      </c>
    </row>
    <row r="850" spans="1:9" ht="18.600000000000001" thickBot="1" x14ac:dyDescent="0.5">
      <c r="A850" s="86"/>
      <c r="B850" s="8"/>
      <c r="C850" s="130" t="s">
        <v>10</v>
      </c>
      <c r="D850" s="131"/>
      <c r="E850" s="19">
        <f t="shared" ref="E850" si="630">IF(H848="",$AA$3,H842*H848)</f>
        <v>0</v>
      </c>
      <c r="F850" s="3"/>
      <c r="G850" s="28" t="s">
        <v>560</v>
      </c>
      <c r="H850" s="40" t="str">
        <f t="shared" si="625"/>
        <v/>
      </c>
      <c r="I850" t="s">
        <v>465</v>
      </c>
    </row>
    <row r="851" spans="1:9" ht="18.600000000000001" thickBot="1" x14ac:dyDescent="0.5">
      <c r="A851" s="86"/>
      <c r="B851" s="132" t="s">
        <v>11</v>
      </c>
      <c r="C851" s="126"/>
      <c r="D851" s="126"/>
      <c r="E851" s="19">
        <f t="shared" ref="E851" si="631">SUM(E847:E850)</f>
        <v>4770.1667248000003</v>
      </c>
      <c r="F851" s="3"/>
      <c r="G851" s="33" t="s">
        <v>561</v>
      </c>
      <c r="H851" s="41" t="str">
        <f t="shared" si="625"/>
        <v/>
      </c>
      <c r="I851" t="s">
        <v>465</v>
      </c>
    </row>
    <row r="852" spans="1:9" ht="18.600000000000001" thickBot="1" x14ac:dyDescent="0.5">
      <c r="A852" s="86"/>
      <c r="B852" s="7"/>
      <c r="C852" s="127" t="s">
        <v>12</v>
      </c>
      <c r="D852" s="128"/>
      <c r="E852" s="19">
        <f t="shared" ref="E852" si="632">_xlfn.SWITCH(H842,1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852" s="3"/>
      <c r="G852" s="32"/>
    </row>
    <row r="853" spans="1:9" ht="18.600000000000001" thickBot="1" x14ac:dyDescent="0.5">
      <c r="A853" s="86"/>
      <c r="B853" s="8"/>
      <c r="C853" s="127" t="s">
        <v>13</v>
      </c>
      <c r="D853" s="128"/>
      <c r="E853" s="19">
        <f t="shared" ref="E853" si="633">IF(H851="",H847*0.05,H851)</f>
        <v>125.37</v>
      </c>
      <c r="F853" s="3"/>
      <c r="G853" s="30"/>
    </row>
    <row r="854" spans="1:9" ht="18.600000000000001" thickBot="1" x14ac:dyDescent="0.5">
      <c r="A854" s="86"/>
      <c r="B854" s="132" t="s">
        <v>14</v>
      </c>
      <c r="C854" s="126"/>
      <c r="D854" s="126"/>
      <c r="E854" s="19">
        <f t="shared" ref="E854" si="634">SUM(E852:E853)</f>
        <v>125.37</v>
      </c>
      <c r="F854" s="3"/>
      <c r="G854" s="30"/>
    </row>
    <row r="855" spans="1:9" ht="18.600000000000001" thickBot="1" x14ac:dyDescent="0.5">
      <c r="A855" s="97" t="s">
        <v>15</v>
      </c>
      <c r="B855" s="98"/>
      <c r="C855" s="98"/>
      <c r="D855" s="99"/>
      <c r="E855" s="20">
        <f t="shared" ref="E855" si="635">E846+E851+E854</f>
        <v>5134.3367248000004</v>
      </c>
      <c r="F855" s="3"/>
      <c r="G855" s="30"/>
    </row>
    <row r="856" spans="1:9" ht="18.600000000000001" thickBot="1" x14ac:dyDescent="0.5">
      <c r="A856" s="6"/>
      <c r="B856" s="126" t="s">
        <v>16</v>
      </c>
      <c r="C856" s="126"/>
      <c r="D856" s="126"/>
      <c r="E856" s="19">
        <f t="shared" ref="E856" si="636">H847</f>
        <v>2507.4</v>
      </c>
      <c r="F856" s="3"/>
    </row>
    <row r="857" spans="1:9" ht="18.600000000000001" thickBot="1" x14ac:dyDescent="0.5">
      <c r="A857" s="97" t="s">
        <v>17</v>
      </c>
      <c r="B857" s="98"/>
      <c r="C857" s="98"/>
      <c r="D857" s="99"/>
      <c r="E857" s="20">
        <f t="shared" ref="E857" si="637">E856</f>
        <v>2507.4</v>
      </c>
      <c r="F857" s="3"/>
    </row>
    <row r="858" spans="1:9" ht="18.600000000000001" thickBot="1" x14ac:dyDescent="0.5">
      <c r="A858" s="96" t="s">
        <v>18</v>
      </c>
      <c r="B858" s="96"/>
      <c r="C858" s="96"/>
      <c r="D858" s="96"/>
      <c r="E858" s="14">
        <f t="shared" ref="E858" si="638">12*H842</f>
        <v>492</v>
      </c>
      <c r="F858" s="3"/>
    </row>
    <row r="859" spans="1:9" ht="18.600000000000001" thickBot="1" x14ac:dyDescent="0.5">
      <c r="A859" s="3"/>
      <c r="B859" s="3"/>
      <c r="C859" s="3"/>
      <c r="D859" s="3"/>
      <c r="E859" s="3"/>
      <c r="F859" s="3"/>
    </row>
    <row r="860" spans="1:9" ht="18.600000000000001" thickBot="1" x14ac:dyDescent="0.5">
      <c r="A860" s="12" t="s">
        <v>19</v>
      </c>
      <c r="B860" s="12"/>
      <c r="C860" s="12"/>
      <c r="D860" s="12"/>
      <c r="E860" s="15">
        <f t="shared" ref="E860" si="639">-((E857-E855)/E858)</f>
        <v>5.3393022861788628</v>
      </c>
      <c r="F860" s="3" t="s">
        <v>20</v>
      </c>
    </row>
    <row r="861" spans="1:9" x14ac:dyDescent="0.45">
      <c r="A861" s="3"/>
      <c r="B861" s="3"/>
      <c r="C861" s="3"/>
      <c r="D861" s="3"/>
      <c r="E861" s="3"/>
      <c r="F861" s="3"/>
    </row>
    <row r="862" spans="1:9" ht="18.600000000000001" thickBot="1" x14ac:dyDescent="0.5">
      <c r="A862" s="3"/>
      <c r="B862" s="3"/>
      <c r="D862" s="3"/>
      <c r="E862" s="3"/>
      <c r="F862" s="3"/>
    </row>
    <row r="863" spans="1:9" ht="18.600000000000001" thickBot="1" x14ac:dyDescent="0.5">
      <c r="A863" s="10" t="s">
        <v>4</v>
      </c>
      <c r="B863" s="3"/>
      <c r="C863" s="3"/>
      <c r="D863" s="3"/>
      <c r="E863" s="4" t="s">
        <v>1</v>
      </c>
      <c r="F863" s="4"/>
      <c r="G863" s="38" t="s">
        <v>508</v>
      </c>
      <c r="H863" s="42">
        <f t="shared" ref="H863" si="640">H842+1</f>
        <v>42</v>
      </c>
      <c r="I863" t="s">
        <v>509</v>
      </c>
    </row>
    <row r="864" spans="1:9" ht="18.600000000000001" thickBot="1" x14ac:dyDescent="0.5">
      <c r="A864" s="133" t="s">
        <v>5</v>
      </c>
      <c r="B864" s="133"/>
      <c r="C864" s="133"/>
      <c r="D864" s="133"/>
      <c r="E864" s="11" t="s">
        <v>0</v>
      </c>
      <c r="F864" s="3"/>
      <c r="G864" s="36" t="s">
        <v>464</v>
      </c>
      <c r="H864" s="37">
        <f t="shared" ref="H864:H869" si="641">H843</f>
        <v>3980</v>
      </c>
      <c r="I864" t="s">
        <v>465</v>
      </c>
    </row>
    <row r="865" spans="1:9" ht="18.600000000000001" thickBot="1" x14ac:dyDescent="0.5">
      <c r="A865" s="85"/>
      <c r="B865" s="87"/>
      <c r="C865" s="127" t="s">
        <v>3</v>
      </c>
      <c r="D865" s="128"/>
      <c r="E865" s="29">
        <f t="shared" ref="E865" si="642">IF(H867="",0,H867)</f>
        <v>0</v>
      </c>
      <c r="F865" s="3"/>
      <c r="G865" s="25" t="s">
        <v>466</v>
      </c>
      <c r="H865" s="43">
        <f t="shared" si="641"/>
        <v>0.65</v>
      </c>
      <c r="I865" t="s">
        <v>469</v>
      </c>
    </row>
    <row r="866" spans="1:9" ht="18.600000000000001" thickBot="1" x14ac:dyDescent="0.5">
      <c r="A866" s="86"/>
      <c r="B866" s="88"/>
      <c r="C866" s="127" t="s">
        <v>6</v>
      </c>
      <c r="D866" s="128"/>
      <c r="E866" s="19">
        <f>IF(H870="",$H$7*0.06,H870)</f>
        <v>238.79999999999998</v>
      </c>
      <c r="F866" s="3"/>
      <c r="G866" s="25" t="s">
        <v>467</v>
      </c>
      <c r="H866" s="37">
        <f t="shared" si="641"/>
        <v>35</v>
      </c>
      <c r="I866" t="s">
        <v>468</v>
      </c>
    </row>
    <row r="867" spans="1:9" ht="18.600000000000001" thickBot="1" x14ac:dyDescent="0.5">
      <c r="A867" s="86"/>
      <c r="B867" s="91" t="s">
        <v>7</v>
      </c>
      <c r="C867" s="92"/>
      <c r="D867" s="92"/>
      <c r="E867" s="19">
        <f t="shared" ref="E867" si="643">SUM(E865:E866)</f>
        <v>238.79999999999998</v>
      </c>
      <c r="F867" s="3"/>
      <c r="G867" s="28" t="s">
        <v>3</v>
      </c>
      <c r="H867" s="37">
        <f t="shared" si="641"/>
        <v>0</v>
      </c>
      <c r="I867" t="s">
        <v>465</v>
      </c>
    </row>
    <row r="868" spans="1:9" ht="18.600000000000001" thickBot="1" x14ac:dyDescent="0.5">
      <c r="A868" s="86"/>
      <c r="B868" s="7"/>
      <c r="C868" s="5" t="s">
        <v>8</v>
      </c>
      <c r="D868" s="5"/>
      <c r="E868" s="49">
        <f>_xlfn.SWITCH(H863,1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868" s="3"/>
      <c r="G868" s="28" t="s">
        <v>16</v>
      </c>
      <c r="H868" s="37">
        <f>真実の家賃!$I$8*AD44</f>
        <v>2507.4</v>
      </c>
      <c r="I868" t="s">
        <v>465</v>
      </c>
    </row>
    <row r="869" spans="1:9" ht="18.600000000000001" thickBot="1" x14ac:dyDescent="0.5">
      <c r="A869" s="86"/>
      <c r="B869" s="8"/>
      <c r="C869" s="127" t="s">
        <v>2</v>
      </c>
      <c r="D869" s="128"/>
      <c r="E869" s="19">
        <f t="shared" ref="E869" si="644">IF(H871="",H863*15,H871)</f>
        <v>630</v>
      </c>
      <c r="F869" s="3"/>
      <c r="G869" s="56" t="s">
        <v>573</v>
      </c>
      <c r="H869" s="40" t="str">
        <f t="shared" si="641"/>
        <v/>
      </c>
      <c r="I869" t="s">
        <v>465</v>
      </c>
    </row>
    <row r="870" spans="1:9" ht="18.600000000000001" thickBot="1" x14ac:dyDescent="0.5">
      <c r="A870" s="86"/>
      <c r="B870" s="8"/>
      <c r="C870" s="129" t="s">
        <v>9</v>
      </c>
      <c r="D870" s="129"/>
      <c r="E870" s="19">
        <f t="shared" ref="E870" si="645">_xlfn.SWITCH(H863,1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870" s="3"/>
      <c r="G870" s="34" t="s">
        <v>6</v>
      </c>
      <c r="H870" s="40" t="str">
        <f t="shared" si="609"/>
        <v/>
      </c>
      <c r="I870" t="s">
        <v>465</v>
      </c>
    </row>
    <row r="871" spans="1:9" ht="18.600000000000001" thickBot="1" x14ac:dyDescent="0.5">
      <c r="A871" s="86"/>
      <c r="B871" s="8"/>
      <c r="C871" s="130" t="s">
        <v>10</v>
      </c>
      <c r="D871" s="131"/>
      <c r="E871" s="19">
        <f t="shared" ref="E871" si="646">IF(H869="",$AA$3,H863*H869)</f>
        <v>0</v>
      </c>
      <c r="F871" s="3"/>
      <c r="G871" s="28" t="s">
        <v>560</v>
      </c>
      <c r="H871" s="40" t="str">
        <f t="shared" si="609"/>
        <v/>
      </c>
      <c r="I871" t="s">
        <v>465</v>
      </c>
    </row>
    <row r="872" spans="1:9" ht="18.600000000000001" thickBot="1" x14ac:dyDescent="0.5">
      <c r="A872" s="86"/>
      <c r="B872" s="132" t="s">
        <v>11</v>
      </c>
      <c r="C872" s="126"/>
      <c r="D872" s="126"/>
      <c r="E872" s="19">
        <f t="shared" ref="E872" si="647">SUM(E868:E871)</f>
        <v>4785.1667248000003</v>
      </c>
      <c r="F872" s="3"/>
      <c r="G872" s="33" t="s">
        <v>561</v>
      </c>
      <c r="H872" s="41" t="str">
        <f t="shared" si="609"/>
        <v/>
      </c>
      <c r="I872" t="s">
        <v>465</v>
      </c>
    </row>
    <row r="873" spans="1:9" ht="18.600000000000001" thickBot="1" x14ac:dyDescent="0.5">
      <c r="A873" s="86"/>
      <c r="B873" s="7"/>
      <c r="C873" s="127" t="s">
        <v>12</v>
      </c>
      <c r="D873" s="128"/>
      <c r="E873" s="19">
        <f t="shared" ref="E873" si="648">_xlfn.SWITCH(H863,1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873" s="3"/>
      <c r="G873" s="32"/>
    </row>
    <row r="874" spans="1:9" ht="18.600000000000001" thickBot="1" x14ac:dyDescent="0.5">
      <c r="A874" s="86"/>
      <c r="B874" s="8"/>
      <c r="C874" s="127" t="s">
        <v>13</v>
      </c>
      <c r="D874" s="128"/>
      <c r="E874" s="19">
        <f t="shared" ref="E874" si="649">IF(H872="",H868*0.05,H872)</f>
        <v>125.37</v>
      </c>
      <c r="F874" s="3"/>
      <c r="G874" s="30"/>
    </row>
    <row r="875" spans="1:9" ht="18.600000000000001" thickBot="1" x14ac:dyDescent="0.5">
      <c r="A875" s="86"/>
      <c r="B875" s="132" t="s">
        <v>14</v>
      </c>
      <c r="C875" s="126"/>
      <c r="D875" s="126"/>
      <c r="E875" s="19">
        <f t="shared" ref="E875" si="650">SUM(E873:E874)</f>
        <v>125.37</v>
      </c>
      <c r="F875" s="3"/>
      <c r="G875" s="30"/>
    </row>
    <row r="876" spans="1:9" ht="18.600000000000001" thickBot="1" x14ac:dyDescent="0.5">
      <c r="A876" s="97" t="s">
        <v>15</v>
      </c>
      <c r="B876" s="98"/>
      <c r="C876" s="98"/>
      <c r="D876" s="99"/>
      <c r="E876" s="20">
        <f t="shared" ref="E876" si="651">E867+E872+E875</f>
        <v>5149.3367248000004</v>
      </c>
      <c r="F876" s="3"/>
      <c r="G876" s="30"/>
    </row>
    <row r="877" spans="1:9" ht="18.600000000000001" thickBot="1" x14ac:dyDescent="0.5">
      <c r="A877" s="6"/>
      <c r="B877" s="126" t="s">
        <v>16</v>
      </c>
      <c r="C877" s="126"/>
      <c r="D877" s="126"/>
      <c r="E877" s="19">
        <f t="shared" ref="E877" si="652">H868</f>
        <v>2507.4</v>
      </c>
      <c r="F877" s="3"/>
    </row>
    <row r="878" spans="1:9" ht="18.600000000000001" thickBot="1" x14ac:dyDescent="0.5">
      <c r="A878" s="97" t="s">
        <v>17</v>
      </c>
      <c r="B878" s="98"/>
      <c r="C878" s="98"/>
      <c r="D878" s="99"/>
      <c r="E878" s="20">
        <f t="shared" ref="E878" si="653">E877</f>
        <v>2507.4</v>
      </c>
      <c r="F878" s="3"/>
    </row>
    <row r="879" spans="1:9" ht="18.600000000000001" thickBot="1" x14ac:dyDescent="0.5">
      <c r="A879" s="96" t="s">
        <v>18</v>
      </c>
      <c r="B879" s="96"/>
      <c r="C879" s="96"/>
      <c r="D879" s="96"/>
      <c r="E879" s="14">
        <f t="shared" ref="E879" si="654">12*H863</f>
        <v>504</v>
      </c>
      <c r="F879" s="3"/>
    </row>
    <row r="880" spans="1:9" ht="18.600000000000001" thickBot="1" x14ac:dyDescent="0.5">
      <c r="A880" s="3"/>
      <c r="B880" s="3"/>
      <c r="C880" s="3"/>
      <c r="D880" s="3"/>
      <c r="E880" s="3"/>
      <c r="F880" s="3"/>
    </row>
    <row r="881" spans="1:9" ht="18.600000000000001" thickBot="1" x14ac:dyDescent="0.5">
      <c r="A881" s="12" t="s">
        <v>19</v>
      </c>
      <c r="B881" s="12"/>
      <c r="C881" s="12"/>
      <c r="D881" s="12"/>
      <c r="E881" s="15">
        <f t="shared" ref="E881" si="655">-((E878-E876)/E879)</f>
        <v>5.2419379460317463</v>
      </c>
      <c r="F881" s="3" t="s">
        <v>20</v>
      </c>
    </row>
    <row r="882" spans="1:9" x14ac:dyDescent="0.45">
      <c r="A882" s="3"/>
      <c r="B882" s="3"/>
      <c r="C882" s="3"/>
      <c r="D882" s="3"/>
      <c r="E882" s="3"/>
      <c r="F882" s="3"/>
    </row>
    <row r="883" spans="1:9" ht="18.600000000000001" thickBot="1" x14ac:dyDescent="0.5">
      <c r="A883" s="3"/>
      <c r="B883" s="3"/>
      <c r="D883" s="3"/>
      <c r="E883" s="3"/>
      <c r="F883" s="3"/>
    </row>
    <row r="884" spans="1:9" ht="18.600000000000001" thickBot="1" x14ac:dyDescent="0.5">
      <c r="A884" s="10" t="s">
        <v>4</v>
      </c>
      <c r="B884" s="3"/>
      <c r="C884" s="3"/>
      <c r="D884" s="3"/>
      <c r="E884" s="4" t="s">
        <v>1</v>
      </c>
      <c r="F884" s="4"/>
      <c r="G884" s="38" t="s">
        <v>508</v>
      </c>
      <c r="H884" s="42">
        <f t="shared" ref="H884" si="656">H863+1</f>
        <v>43</v>
      </c>
      <c r="I884" t="s">
        <v>509</v>
      </c>
    </row>
    <row r="885" spans="1:9" ht="18.600000000000001" thickBot="1" x14ac:dyDescent="0.5">
      <c r="A885" s="133" t="s">
        <v>5</v>
      </c>
      <c r="B885" s="133"/>
      <c r="C885" s="133"/>
      <c r="D885" s="133"/>
      <c r="E885" s="11" t="s">
        <v>0</v>
      </c>
      <c r="F885" s="3"/>
      <c r="G885" s="36" t="s">
        <v>464</v>
      </c>
      <c r="H885" s="37">
        <f t="shared" ref="H885:H890" si="657">H864</f>
        <v>3980</v>
      </c>
      <c r="I885" t="s">
        <v>465</v>
      </c>
    </row>
    <row r="886" spans="1:9" ht="18.600000000000001" thickBot="1" x14ac:dyDescent="0.5">
      <c r="A886" s="85"/>
      <c r="B886" s="87"/>
      <c r="C886" s="127" t="s">
        <v>3</v>
      </c>
      <c r="D886" s="128"/>
      <c r="E886" s="29">
        <f t="shared" ref="E886" si="658">IF(H888="",0,H888)</f>
        <v>0</v>
      </c>
      <c r="F886" s="3"/>
      <c r="G886" s="25" t="s">
        <v>466</v>
      </c>
      <c r="H886" s="43">
        <f t="shared" si="657"/>
        <v>0.65</v>
      </c>
      <c r="I886" t="s">
        <v>469</v>
      </c>
    </row>
    <row r="887" spans="1:9" ht="18.600000000000001" thickBot="1" x14ac:dyDescent="0.5">
      <c r="A887" s="86"/>
      <c r="B887" s="88"/>
      <c r="C887" s="127" t="s">
        <v>6</v>
      </c>
      <c r="D887" s="128"/>
      <c r="E887" s="19">
        <f>IF(H891="",$H$7*0.06,H891)</f>
        <v>238.79999999999998</v>
      </c>
      <c r="F887" s="3"/>
      <c r="G887" s="25" t="s">
        <v>467</v>
      </c>
      <c r="H887" s="37">
        <f t="shared" si="657"/>
        <v>35</v>
      </c>
      <c r="I887" t="s">
        <v>468</v>
      </c>
    </row>
    <row r="888" spans="1:9" ht="18.600000000000001" thickBot="1" x14ac:dyDescent="0.5">
      <c r="A888" s="86"/>
      <c r="B888" s="91" t="s">
        <v>7</v>
      </c>
      <c r="C888" s="92"/>
      <c r="D888" s="92"/>
      <c r="E888" s="19">
        <f t="shared" ref="E888" si="659">SUM(E886:E887)</f>
        <v>238.79999999999998</v>
      </c>
      <c r="F888" s="3"/>
      <c r="G888" s="28" t="s">
        <v>3</v>
      </c>
      <c r="H888" s="37">
        <f t="shared" si="657"/>
        <v>0</v>
      </c>
      <c r="I888" t="s">
        <v>465</v>
      </c>
    </row>
    <row r="889" spans="1:9" ht="18.600000000000001" thickBot="1" x14ac:dyDescent="0.5">
      <c r="A889" s="86"/>
      <c r="B889" s="7"/>
      <c r="C889" s="5" t="s">
        <v>8</v>
      </c>
      <c r="D889" s="5"/>
      <c r="E889" s="49">
        <f>_xlfn.SWITCH(H884,1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889" s="3"/>
      <c r="G889" s="28" t="s">
        <v>16</v>
      </c>
      <c r="H889" s="37">
        <f>真実の家賃!$I$8*AD45</f>
        <v>2507.4</v>
      </c>
      <c r="I889" t="s">
        <v>465</v>
      </c>
    </row>
    <row r="890" spans="1:9" ht="18.600000000000001" thickBot="1" x14ac:dyDescent="0.5">
      <c r="A890" s="86"/>
      <c r="B890" s="8"/>
      <c r="C890" s="127" t="s">
        <v>2</v>
      </c>
      <c r="D890" s="128"/>
      <c r="E890" s="19">
        <f t="shared" ref="E890" si="660">IF(H892="",H884*15,H892)</f>
        <v>645</v>
      </c>
      <c r="F890" s="3"/>
      <c r="G890" s="56" t="s">
        <v>573</v>
      </c>
      <c r="H890" s="40" t="str">
        <f t="shared" si="657"/>
        <v/>
      </c>
      <c r="I890" t="s">
        <v>465</v>
      </c>
    </row>
    <row r="891" spans="1:9" ht="18.600000000000001" thickBot="1" x14ac:dyDescent="0.5">
      <c r="A891" s="86"/>
      <c r="B891" s="8"/>
      <c r="C891" s="129" t="s">
        <v>9</v>
      </c>
      <c r="D891" s="129"/>
      <c r="E891" s="19">
        <f t="shared" ref="E891" si="661">_xlfn.SWITCH(H884,1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891" s="3"/>
      <c r="G891" s="34" t="s">
        <v>6</v>
      </c>
      <c r="H891" s="40" t="str">
        <f t="shared" si="625"/>
        <v/>
      </c>
      <c r="I891" t="s">
        <v>465</v>
      </c>
    </row>
    <row r="892" spans="1:9" ht="18.600000000000001" thickBot="1" x14ac:dyDescent="0.5">
      <c r="A892" s="86"/>
      <c r="B892" s="8"/>
      <c r="C892" s="130" t="s">
        <v>10</v>
      </c>
      <c r="D892" s="131"/>
      <c r="E892" s="19">
        <f t="shared" ref="E892" si="662">IF(H890="",$AA$3,H884*H890)</f>
        <v>0</v>
      </c>
      <c r="F892" s="3"/>
      <c r="G892" s="28" t="s">
        <v>560</v>
      </c>
      <c r="H892" s="40" t="str">
        <f t="shared" si="625"/>
        <v/>
      </c>
      <c r="I892" t="s">
        <v>465</v>
      </c>
    </row>
    <row r="893" spans="1:9" ht="18.600000000000001" thickBot="1" x14ac:dyDescent="0.5">
      <c r="A893" s="86"/>
      <c r="B893" s="132" t="s">
        <v>11</v>
      </c>
      <c r="C893" s="126"/>
      <c r="D893" s="126"/>
      <c r="E893" s="19">
        <f t="shared" ref="E893" si="663">SUM(E889:E892)</f>
        <v>4800.1667248000003</v>
      </c>
      <c r="F893" s="3"/>
      <c r="G893" s="33" t="s">
        <v>561</v>
      </c>
      <c r="H893" s="41" t="str">
        <f t="shared" si="625"/>
        <v/>
      </c>
      <c r="I893" t="s">
        <v>465</v>
      </c>
    </row>
    <row r="894" spans="1:9" ht="18.600000000000001" thickBot="1" x14ac:dyDescent="0.5">
      <c r="A894" s="86"/>
      <c r="B894" s="7"/>
      <c r="C894" s="127" t="s">
        <v>12</v>
      </c>
      <c r="D894" s="128"/>
      <c r="E894" s="19">
        <f t="shared" ref="E894" si="664">_xlfn.SWITCH(H884,1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894" s="3"/>
      <c r="G894" s="32"/>
    </row>
    <row r="895" spans="1:9" ht="18.600000000000001" thickBot="1" x14ac:dyDescent="0.5">
      <c r="A895" s="86"/>
      <c r="B895" s="8"/>
      <c r="C895" s="127" t="s">
        <v>13</v>
      </c>
      <c r="D895" s="128"/>
      <c r="E895" s="19">
        <f t="shared" ref="E895" si="665">IF(H893="",H889*0.05,H893)</f>
        <v>125.37</v>
      </c>
      <c r="F895" s="3"/>
      <c r="G895" s="30"/>
    </row>
    <row r="896" spans="1:9" ht="18.600000000000001" thickBot="1" x14ac:dyDescent="0.5">
      <c r="A896" s="86"/>
      <c r="B896" s="132" t="s">
        <v>14</v>
      </c>
      <c r="C896" s="126"/>
      <c r="D896" s="126"/>
      <c r="E896" s="19">
        <f t="shared" ref="E896" si="666">SUM(E894:E895)</f>
        <v>125.37</v>
      </c>
      <c r="F896" s="3"/>
      <c r="G896" s="30"/>
    </row>
    <row r="897" spans="1:9" ht="18.600000000000001" thickBot="1" x14ac:dyDescent="0.5">
      <c r="A897" s="97" t="s">
        <v>15</v>
      </c>
      <c r="B897" s="98"/>
      <c r="C897" s="98"/>
      <c r="D897" s="99"/>
      <c r="E897" s="20">
        <f t="shared" ref="E897" si="667">E888+E893+E896</f>
        <v>5164.3367248000004</v>
      </c>
      <c r="F897" s="3"/>
      <c r="G897" s="30"/>
    </row>
    <row r="898" spans="1:9" ht="18.600000000000001" thickBot="1" x14ac:dyDescent="0.5">
      <c r="A898" s="6"/>
      <c r="B898" s="126" t="s">
        <v>16</v>
      </c>
      <c r="C898" s="126"/>
      <c r="D898" s="126"/>
      <c r="E898" s="19">
        <f t="shared" ref="E898" si="668">H889</f>
        <v>2507.4</v>
      </c>
      <c r="F898" s="3"/>
    </row>
    <row r="899" spans="1:9" ht="18.600000000000001" thickBot="1" x14ac:dyDescent="0.5">
      <c r="A899" s="97" t="s">
        <v>17</v>
      </c>
      <c r="B899" s="98"/>
      <c r="C899" s="98"/>
      <c r="D899" s="99"/>
      <c r="E899" s="20">
        <f t="shared" ref="E899" si="669">E898</f>
        <v>2507.4</v>
      </c>
      <c r="F899" s="3"/>
    </row>
    <row r="900" spans="1:9" ht="18.600000000000001" thickBot="1" x14ac:dyDescent="0.5">
      <c r="A900" s="96" t="s">
        <v>18</v>
      </c>
      <c r="B900" s="96"/>
      <c r="C900" s="96"/>
      <c r="D900" s="96"/>
      <c r="E900" s="14">
        <f t="shared" ref="E900" si="670">12*H884</f>
        <v>516</v>
      </c>
      <c r="F900" s="3"/>
    </row>
    <row r="901" spans="1:9" ht="18.600000000000001" thickBot="1" x14ac:dyDescent="0.5">
      <c r="A901" s="3"/>
      <c r="B901" s="3"/>
      <c r="C901" s="3"/>
      <c r="D901" s="3"/>
      <c r="E901" s="3"/>
      <c r="F901" s="3"/>
    </row>
    <row r="902" spans="1:9" ht="18.600000000000001" thickBot="1" x14ac:dyDescent="0.5">
      <c r="A902" s="12" t="s">
        <v>19</v>
      </c>
      <c r="B902" s="12"/>
      <c r="C902" s="12"/>
      <c r="D902" s="12"/>
      <c r="E902" s="15">
        <f t="shared" ref="E902" si="671">-((E899-E897)/E900)</f>
        <v>5.1491021798449621</v>
      </c>
      <c r="F902" s="3" t="s">
        <v>20</v>
      </c>
    </row>
    <row r="903" spans="1:9" x14ac:dyDescent="0.45">
      <c r="A903" s="3"/>
      <c r="B903" s="3"/>
      <c r="C903" s="3"/>
      <c r="D903" s="3"/>
      <c r="E903" s="3"/>
      <c r="F903" s="3"/>
    </row>
    <row r="904" spans="1:9" ht="18.600000000000001" thickBot="1" x14ac:dyDescent="0.5">
      <c r="A904" s="3"/>
      <c r="B904" s="3"/>
      <c r="D904" s="3"/>
      <c r="E904" s="3"/>
      <c r="F904" s="3"/>
    </row>
    <row r="905" spans="1:9" ht="18.600000000000001" thickBot="1" x14ac:dyDescent="0.5">
      <c r="A905" s="10" t="s">
        <v>4</v>
      </c>
      <c r="B905" s="3"/>
      <c r="C905" s="3"/>
      <c r="D905" s="3"/>
      <c r="E905" s="4" t="s">
        <v>1</v>
      </c>
      <c r="F905" s="4"/>
      <c r="G905" s="38" t="s">
        <v>508</v>
      </c>
      <c r="H905" s="42">
        <f t="shared" ref="H905" si="672">H884+1</f>
        <v>44</v>
      </c>
      <c r="I905" t="s">
        <v>509</v>
      </c>
    </row>
    <row r="906" spans="1:9" ht="18.600000000000001" thickBot="1" x14ac:dyDescent="0.5">
      <c r="A906" s="133" t="s">
        <v>5</v>
      </c>
      <c r="B906" s="133"/>
      <c r="C906" s="133"/>
      <c r="D906" s="133"/>
      <c r="E906" s="11" t="s">
        <v>0</v>
      </c>
      <c r="F906" s="3"/>
      <c r="G906" s="36" t="s">
        <v>464</v>
      </c>
      <c r="H906" s="37">
        <f t="shared" ref="H906:H956" si="673">H885</f>
        <v>3980</v>
      </c>
      <c r="I906" t="s">
        <v>465</v>
      </c>
    </row>
    <row r="907" spans="1:9" ht="18.600000000000001" thickBot="1" x14ac:dyDescent="0.5">
      <c r="A907" s="85"/>
      <c r="B907" s="87"/>
      <c r="C907" s="127" t="s">
        <v>3</v>
      </c>
      <c r="D907" s="128"/>
      <c r="E907" s="29">
        <f t="shared" ref="E907" si="674">IF(H909="",0,H909)</f>
        <v>0</v>
      </c>
      <c r="F907" s="3"/>
      <c r="G907" s="25" t="s">
        <v>466</v>
      </c>
      <c r="H907" s="43">
        <f t="shared" si="673"/>
        <v>0.65</v>
      </c>
      <c r="I907" t="s">
        <v>469</v>
      </c>
    </row>
    <row r="908" spans="1:9" ht="18.600000000000001" thickBot="1" x14ac:dyDescent="0.5">
      <c r="A908" s="86"/>
      <c r="B908" s="88"/>
      <c r="C908" s="127" t="s">
        <v>6</v>
      </c>
      <c r="D908" s="128"/>
      <c r="E908" s="19">
        <f>IF(H912="",$H$7*0.06,H912)</f>
        <v>238.79999999999998</v>
      </c>
      <c r="F908" s="3"/>
      <c r="G908" s="25" t="s">
        <v>467</v>
      </c>
      <c r="H908" s="37">
        <f t="shared" si="673"/>
        <v>35</v>
      </c>
      <c r="I908" t="s">
        <v>468</v>
      </c>
    </row>
    <row r="909" spans="1:9" ht="18.600000000000001" thickBot="1" x14ac:dyDescent="0.5">
      <c r="A909" s="86"/>
      <c r="B909" s="91" t="s">
        <v>7</v>
      </c>
      <c r="C909" s="92"/>
      <c r="D909" s="92"/>
      <c r="E909" s="19">
        <f t="shared" ref="E909" si="675">SUM(E907:E908)</f>
        <v>238.79999999999998</v>
      </c>
      <c r="F909" s="3"/>
      <c r="G909" s="28" t="s">
        <v>3</v>
      </c>
      <c r="H909" s="37">
        <f t="shared" si="673"/>
        <v>0</v>
      </c>
      <c r="I909" t="s">
        <v>465</v>
      </c>
    </row>
    <row r="910" spans="1:9" ht="18.600000000000001" thickBot="1" x14ac:dyDescent="0.5">
      <c r="A910" s="86"/>
      <c r="B910" s="7"/>
      <c r="C910" s="5" t="s">
        <v>8</v>
      </c>
      <c r="D910" s="5"/>
      <c r="E910" s="49">
        <f>_xlfn.SWITCH(H905,1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910" s="3"/>
      <c r="G910" s="28" t="s">
        <v>16</v>
      </c>
      <c r="H910" s="37">
        <f>真実の家賃!$I$8*AD46</f>
        <v>2507.4</v>
      </c>
      <c r="I910" t="s">
        <v>465</v>
      </c>
    </row>
    <row r="911" spans="1:9" ht="18.600000000000001" thickBot="1" x14ac:dyDescent="0.5">
      <c r="A911" s="86"/>
      <c r="B911" s="8"/>
      <c r="C911" s="127" t="s">
        <v>2</v>
      </c>
      <c r="D911" s="128"/>
      <c r="E911" s="19">
        <f t="shared" ref="E911" si="676">IF(H913="",H905*15,H913)</f>
        <v>660</v>
      </c>
      <c r="F911" s="3"/>
      <c r="G911" s="56" t="s">
        <v>573</v>
      </c>
      <c r="H911" s="40" t="str">
        <f t="shared" si="673"/>
        <v/>
      </c>
      <c r="I911" t="s">
        <v>465</v>
      </c>
    </row>
    <row r="912" spans="1:9" ht="18.600000000000001" thickBot="1" x14ac:dyDescent="0.5">
      <c r="A912" s="86"/>
      <c r="B912" s="8"/>
      <c r="C912" s="129" t="s">
        <v>9</v>
      </c>
      <c r="D912" s="129"/>
      <c r="E912" s="19">
        <f t="shared" ref="E912" si="677">_xlfn.SWITCH(H905,1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912" s="3"/>
      <c r="G912" s="34" t="s">
        <v>6</v>
      </c>
      <c r="H912" s="40" t="str">
        <f t="shared" si="673"/>
        <v/>
      </c>
      <c r="I912" t="s">
        <v>465</v>
      </c>
    </row>
    <row r="913" spans="1:9" ht="18.600000000000001" thickBot="1" x14ac:dyDescent="0.5">
      <c r="A913" s="86"/>
      <c r="B913" s="8"/>
      <c r="C913" s="130" t="s">
        <v>10</v>
      </c>
      <c r="D913" s="131"/>
      <c r="E913" s="19">
        <f t="shared" ref="E913" si="678">IF(H911="",$AA$3,H905*H911)</f>
        <v>0</v>
      </c>
      <c r="F913" s="3"/>
      <c r="G913" s="28" t="s">
        <v>560</v>
      </c>
      <c r="H913" s="40" t="str">
        <f t="shared" si="673"/>
        <v/>
      </c>
      <c r="I913" t="s">
        <v>465</v>
      </c>
    </row>
    <row r="914" spans="1:9" ht="18.600000000000001" thickBot="1" x14ac:dyDescent="0.5">
      <c r="A914" s="86"/>
      <c r="B914" s="132" t="s">
        <v>11</v>
      </c>
      <c r="C914" s="126"/>
      <c r="D914" s="126"/>
      <c r="E914" s="19">
        <f t="shared" ref="E914" si="679">SUM(E910:E913)</f>
        <v>4815.1667248000003</v>
      </c>
      <c r="F914" s="3"/>
      <c r="G914" s="33" t="s">
        <v>561</v>
      </c>
      <c r="H914" s="41" t="str">
        <f t="shared" si="673"/>
        <v/>
      </c>
      <c r="I914" t="s">
        <v>465</v>
      </c>
    </row>
    <row r="915" spans="1:9" ht="18.600000000000001" thickBot="1" x14ac:dyDescent="0.5">
      <c r="A915" s="86"/>
      <c r="B915" s="7"/>
      <c r="C915" s="127" t="s">
        <v>12</v>
      </c>
      <c r="D915" s="128"/>
      <c r="E915" s="19">
        <f t="shared" ref="E915" si="680">_xlfn.SWITCH(H905,1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915" s="3"/>
      <c r="G915" s="32"/>
    </row>
    <row r="916" spans="1:9" ht="18.600000000000001" thickBot="1" x14ac:dyDescent="0.5">
      <c r="A916" s="86"/>
      <c r="B916" s="8"/>
      <c r="C916" s="127" t="s">
        <v>13</v>
      </c>
      <c r="D916" s="128"/>
      <c r="E916" s="19">
        <f t="shared" ref="E916" si="681">IF(H914="",H910*0.05,H914)</f>
        <v>125.37</v>
      </c>
      <c r="F916" s="3"/>
      <c r="G916" s="30"/>
    </row>
    <row r="917" spans="1:9" ht="18.600000000000001" thickBot="1" x14ac:dyDescent="0.5">
      <c r="A917" s="86"/>
      <c r="B917" s="132" t="s">
        <v>14</v>
      </c>
      <c r="C917" s="126"/>
      <c r="D917" s="126"/>
      <c r="E917" s="19">
        <f t="shared" ref="E917" si="682">SUM(E915:E916)</f>
        <v>125.37</v>
      </c>
      <c r="F917" s="3"/>
      <c r="G917" s="30"/>
    </row>
    <row r="918" spans="1:9" ht="18.600000000000001" thickBot="1" x14ac:dyDescent="0.5">
      <c r="A918" s="97" t="s">
        <v>15</v>
      </c>
      <c r="B918" s="98"/>
      <c r="C918" s="98"/>
      <c r="D918" s="99"/>
      <c r="E918" s="20">
        <f t="shared" ref="E918" si="683">E909+E914+E917</f>
        <v>5179.3367248000004</v>
      </c>
      <c r="F918" s="3"/>
      <c r="G918" s="30"/>
    </row>
    <row r="919" spans="1:9" ht="18.600000000000001" thickBot="1" x14ac:dyDescent="0.5">
      <c r="A919" s="6"/>
      <c r="B919" s="126" t="s">
        <v>16</v>
      </c>
      <c r="C919" s="126"/>
      <c r="D919" s="126"/>
      <c r="E919" s="19">
        <f t="shared" ref="E919" si="684">H910</f>
        <v>2507.4</v>
      </c>
      <c r="F919" s="3"/>
    </row>
    <row r="920" spans="1:9" ht="18.600000000000001" thickBot="1" x14ac:dyDescent="0.5">
      <c r="A920" s="97" t="s">
        <v>17</v>
      </c>
      <c r="B920" s="98"/>
      <c r="C920" s="98"/>
      <c r="D920" s="99"/>
      <c r="E920" s="20">
        <f t="shared" ref="E920" si="685">E919</f>
        <v>2507.4</v>
      </c>
      <c r="F920" s="3"/>
    </row>
    <row r="921" spans="1:9" ht="18.600000000000001" thickBot="1" x14ac:dyDescent="0.5">
      <c r="A921" s="96" t="s">
        <v>18</v>
      </c>
      <c r="B921" s="96"/>
      <c r="C921" s="96"/>
      <c r="D921" s="96"/>
      <c r="E921" s="14">
        <f t="shared" ref="E921" si="686">12*H905</f>
        <v>528</v>
      </c>
      <c r="F921" s="3"/>
    </row>
    <row r="922" spans="1:9" ht="18.600000000000001" thickBot="1" x14ac:dyDescent="0.5">
      <c r="A922" s="3"/>
      <c r="B922" s="3"/>
      <c r="C922" s="3"/>
      <c r="D922" s="3"/>
      <c r="E922" s="3"/>
      <c r="F922" s="3"/>
    </row>
    <row r="923" spans="1:9" ht="18.600000000000001" thickBot="1" x14ac:dyDescent="0.5">
      <c r="A923" s="12" t="s">
        <v>19</v>
      </c>
      <c r="B923" s="12"/>
      <c r="C923" s="12"/>
      <c r="D923" s="12"/>
      <c r="E923" s="15">
        <f t="shared" ref="E923" si="687">-((E920-E918)/E921)</f>
        <v>5.0604862212121215</v>
      </c>
      <c r="F923" s="3" t="s">
        <v>20</v>
      </c>
    </row>
    <row r="924" spans="1:9" x14ac:dyDescent="0.45">
      <c r="A924" s="3"/>
      <c r="B924" s="3"/>
      <c r="C924" s="3"/>
      <c r="D924" s="3"/>
      <c r="E924" s="3"/>
      <c r="F924" s="3"/>
    </row>
    <row r="925" spans="1:9" ht="18.600000000000001" thickBot="1" x14ac:dyDescent="0.5">
      <c r="A925" s="3"/>
      <c r="B925" s="3"/>
      <c r="D925" s="3"/>
      <c r="E925" s="3"/>
      <c r="F925" s="3"/>
    </row>
    <row r="926" spans="1:9" ht="18.600000000000001" thickBot="1" x14ac:dyDescent="0.5">
      <c r="A926" s="10" t="s">
        <v>4</v>
      </c>
      <c r="B926" s="3"/>
      <c r="C926" s="3"/>
      <c r="D926" s="3"/>
      <c r="E926" s="4" t="s">
        <v>1</v>
      </c>
      <c r="F926" s="4"/>
      <c r="G926" s="38" t="s">
        <v>508</v>
      </c>
      <c r="H926" s="42">
        <f t="shared" ref="H926" si="688">H905+1</f>
        <v>45</v>
      </c>
      <c r="I926" t="s">
        <v>509</v>
      </c>
    </row>
    <row r="927" spans="1:9" ht="18.600000000000001" thickBot="1" x14ac:dyDescent="0.5">
      <c r="A927" s="133" t="s">
        <v>5</v>
      </c>
      <c r="B927" s="133"/>
      <c r="C927" s="133"/>
      <c r="D927" s="133"/>
      <c r="E927" s="11" t="s">
        <v>0</v>
      </c>
      <c r="F927" s="3"/>
      <c r="G927" s="36" t="s">
        <v>464</v>
      </c>
      <c r="H927" s="37">
        <f t="shared" ref="H927:H977" si="689">H906</f>
        <v>3980</v>
      </c>
      <c r="I927" t="s">
        <v>465</v>
      </c>
    </row>
    <row r="928" spans="1:9" ht="18.600000000000001" thickBot="1" x14ac:dyDescent="0.5">
      <c r="A928" s="85"/>
      <c r="B928" s="87"/>
      <c r="C928" s="127" t="s">
        <v>3</v>
      </c>
      <c r="D928" s="128"/>
      <c r="E928" s="29">
        <f t="shared" ref="E928" si="690">IF(H930="",0,H930)</f>
        <v>0</v>
      </c>
      <c r="F928" s="3"/>
      <c r="G928" s="25" t="s">
        <v>466</v>
      </c>
      <c r="H928" s="43">
        <f t="shared" si="689"/>
        <v>0.65</v>
      </c>
      <c r="I928" t="s">
        <v>469</v>
      </c>
    </row>
    <row r="929" spans="1:9" ht="18.600000000000001" thickBot="1" x14ac:dyDescent="0.5">
      <c r="A929" s="86"/>
      <c r="B929" s="88"/>
      <c r="C929" s="127" t="s">
        <v>6</v>
      </c>
      <c r="D929" s="128"/>
      <c r="E929" s="19">
        <f>IF(H933="",$H$7*0.06,H933)</f>
        <v>238.79999999999998</v>
      </c>
      <c r="F929" s="3"/>
      <c r="G929" s="25" t="s">
        <v>467</v>
      </c>
      <c r="H929" s="37">
        <f t="shared" si="689"/>
        <v>35</v>
      </c>
      <c r="I929" t="s">
        <v>468</v>
      </c>
    </row>
    <row r="930" spans="1:9" ht="18.600000000000001" thickBot="1" x14ac:dyDescent="0.5">
      <c r="A930" s="86"/>
      <c r="B930" s="91" t="s">
        <v>7</v>
      </c>
      <c r="C930" s="92"/>
      <c r="D930" s="92"/>
      <c r="E930" s="19">
        <f t="shared" ref="E930" si="691">SUM(E928:E929)</f>
        <v>238.79999999999998</v>
      </c>
      <c r="F930" s="3"/>
      <c r="G930" s="28" t="s">
        <v>3</v>
      </c>
      <c r="H930" s="37">
        <f t="shared" si="689"/>
        <v>0</v>
      </c>
      <c r="I930" t="s">
        <v>465</v>
      </c>
    </row>
    <row r="931" spans="1:9" ht="18.600000000000001" thickBot="1" x14ac:dyDescent="0.5">
      <c r="A931" s="86"/>
      <c r="B931" s="7"/>
      <c r="C931" s="5" t="s">
        <v>8</v>
      </c>
      <c r="D931" s="5"/>
      <c r="E931" s="49">
        <f>_xlfn.SWITCH(H926,1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931" s="3"/>
      <c r="G931" s="28" t="s">
        <v>16</v>
      </c>
      <c r="H931" s="37">
        <f>真実の家賃!$I$8*AD47</f>
        <v>2507.4</v>
      </c>
      <c r="I931" t="s">
        <v>465</v>
      </c>
    </row>
    <row r="932" spans="1:9" ht="18.600000000000001" thickBot="1" x14ac:dyDescent="0.5">
      <c r="A932" s="86"/>
      <c r="B932" s="8"/>
      <c r="C932" s="127" t="s">
        <v>2</v>
      </c>
      <c r="D932" s="128"/>
      <c r="E932" s="19">
        <f t="shared" ref="E932" si="692">IF(H934="",H926*15,H934)</f>
        <v>675</v>
      </c>
      <c r="F932" s="3"/>
      <c r="G932" s="56" t="s">
        <v>573</v>
      </c>
      <c r="H932" s="40" t="str">
        <f t="shared" si="689"/>
        <v/>
      </c>
      <c r="I932" t="s">
        <v>465</v>
      </c>
    </row>
    <row r="933" spans="1:9" ht="18.600000000000001" thickBot="1" x14ac:dyDescent="0.5">
      <c r="A933" s="86"/>
      <c r="B933" s="8"/>
      <c r="C933" s="129" t="s">
        <v>9</v>
      </c>
      <c r="D933" s="129"/>
      <c r="E933" s="19">
        <f t="shared" ref="E933" si="693">_xlfn.SWITCH(H926,1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933" s="3"/>
      <c r="G933" s="34" t="s">
        <v>6</v>
      </c>
      <c r="H933" s="40" t="str">
        <f t="shared" si="689"/>
        <v/>
      </c>
      <c r="I933" t="s">
        <v>465</v>
      </c>
    </row>
    <row r="934" spans="1:9" ht="18.600000000000001" thickBot="1" x14ac:dyDescent="0.5">
      <c r="A934" s="86"/>
      <c r="B934" s="8"/>
      <c r="C934" s="130" t="s">
        <v>10</v>
      </c>
      <c r="D934" s="131"/>
      <c r="E934" s="19">
        <f t="shared" ref="E934" si="694">IF(H932="",$AA$3,H926*H932)</f>
        <v>0</v>
      </c>
      <c r="F934" s="3"/>
      <c r="G934" s="28" t="s">
        <v>560</v>
      </c>
      <c r="H934" s="40" t="str">
        <f t="shared" si="689"/>
        <v/>
      </c>
      <c r="I934" t="s">
        <v>465</v>
      </c>
    </row>
    <row r="935" spans="1:9" ht="18.600000000000001" thickBot="1" x14ac:dyDescent="0.5">
      <c r="A935" s="86"/>
      <c r="B935" s="132" t="s">
        <v>11</v>
      </c>
      <c r="C935" s="126"/>
      <c r="D935" s="126"/>
      <c r="E935" s="19">
        <f t="shared" ref="E935" si="695">SUM(E931:E934)</f>
        <v>4830.1667248000003</v>
      </c>
      <c r="F935" s="3"/>
      <c r="G935" s="33" t="s">
        <v>561</v>
      </c>
      <c r="H935" s="41" t="str">
        <f t="shared" si="689"/>
        <v/>
      </c>
      <c r="I935" t="s">
        <v>465</v>
      </c>
    </row>
    <row r="936" spans="1:9" ht="18.600000000000001" thickBot="1" x14ac:dyDescent="0.5">
      <c r="A936" s="86"/>
      <c r="B936" s="7"/>
      <c r="C936" s="127" t="s">
        <v>12</v>
      </c>
      <c r="D936" s="128"/>
      <c r="E936" s="19">
        <f t="shared" ref="E936" si="696">_xlfn.SWITCH(H926,1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936" s="3"/>
      <c r="G936" s="32"/>
    </row>
    <row r="937" spans="1:9" ht="18.600000000000001" thickBot="1" x14ac:dyDescent="0.5">
      <c r="A937" s="86"/>
      <c r="B937" s="8"/>
      <c r="C937" s="127" t="s">
        <v>13</v>
      </c>
      <c r="D937" s="128"/>
      <c r="E937" s="19">
        <f t="shared" ref="E937" si="697">IF(H935="",H931*0.05,H935)</f>
        <v>125.37</v>
      </c>
      <c r="F937" s="3"/>
      <c r="G937" s="30"/>
    </row>
    <row r="938" spans="1:9" ht="18.600000000000001" thickBot="1" x14ac:dyDescent="0.5">
      <c r="A938" s="86"/>
      <c r="B938" s="132" t="s">
        <v>14</v>
      </c>
      <c r="C938" s="126"/>
      <c r="D938" s="126"/>
      <c r="E938" s="19">
        <f t="shared" ref="E938" si="698">SUM(E936:E937)</f>
        <v>125.37</v>
      </c>
      <c r="F938" s="3"/>
      <c r="G938" s="30"/>
    </row>
    <row r="939" spans="1:9" ht="18.600000000000001" thickBot="1" x14ac:dyDescent="0.5">
      <c r="A939" s="97" t="s">
        <v>15</v>
      </c>
      <c r="B939" s="98"/>
      <c r="C939" s="98"/>
      <c r="D939" s="99"/>
      <c r="E939" s="20">
        <f t="shared" ref="E939" si="699">E930+E935+E938</f>
        <v>5194.3367248000004</v>
      </c>
      <c r="F939" s="3"/>
      <c r="G939" s="30"/>
    </row>
    <row r="940" spans="1:9" ht="18.600000000000001" thickBot="1" x14ac:dyDescent="0.5">
      <c r="A940" s="6"/>
      <c r="B940" s="126" t="s">
        <v>16</v>
      </c>
      <c r="C940" s="126"/>
      <c r="D940" s="126"/>
      <c r="E940" s="19">
        <f t="shared" ref="E940" si="700">H931</f>
        <v>2507.4</v>
      </c>
      <c r="F940" s="3"/>
    </row>
    <row r="941" spans="1:9" ht="18.600000000000001" thickBot="1" x14ac:dyDescent="0.5">
      <c r="A941" s="97" t="s">
        <v>17</v>
      </c>
      <c r="B941" s="98"/>
      <c r="C941" s="98"/>
      <c r="D941" s="99"/>
      <c r="E941" s="20">
        <f t="shared" ref="E941" si="701">E940</f>
        <v>2507.4</v>
      </c>
      <c r="F941" s="3"/>
    </row>
    <row r="942" spans="1:9" ht="18.600000000000001" thickBot="1" x14ac:dyDescent="0.5">
      <c r="A942" s="96" t="s">
        <v>18</v>
      </c>
      <c r="B942" s="96"/>
      <c r="C942" s="96"/>
      <c r="D942" s="96"/>
      <c r="E942" s="14">
        <f t="shared" ref="E942" si="702">12*H926</f>
        <v>540</v>
      </c>
      <c r="F942" s="3"/>
    </row>
    <row r="943" spans="1:9" ht="18.600000000000001" thickBot="1" x14ac:dyDescent="0.5">
      <c r="A943" s="3"/>
      <c r="B943" s="3"/>
      <c r="C943" s="3"/>
      <c r="D943" s="3"/>
      <c r="E943" s="3"/>
      <c r="F943" s="3"/>
    </row>
    <row r="944" spans="1:9" ht="18.600000000000001" thickBot="1" x14ac:dyDescent="0.5">
      <c r="A944" s="12" t="s">
        <v>19</v>
      </c>
      <c r="B944" s="12"/>
      <c r="C944" s="12"/>
      <c r="D944" s="12"/>
      <c r="E944" s="15">
        <f t="shared" ref="E944" si="703">-((E941-E939)/E942)</f>
        <v>4.9758087496296302</v>
      </c>
      <c r="F944" s="3" t="s">
        <v>20</v>
      </c>
    </row>
    <row r="945" spans="1:9" x14ac:dyDescent="0.45">
      <c r="A945" s="3"/>
      <c r="B945" s="3"/>
      <c r="C945" s="3"/>
      <c r="D945" s="3"/>
      <c r="E945" s="3"/>
      <c r="F945" s="3"/>
    </row>
    <row r="946" spans="1:9" ht="18.600000000000001" thickBot="1" x14ac:dyDescent="0.5">
      <c r="A946" s="3"/>
      <c r="B946" s="3"/>
      <c r="D946" s="3"/>
      <c r="E946" s="3"/>
      <c r="F946" s="3"/>
    </row>
    <row r="947" spans="1:9" ht="18.600000000000001" thickBot="1" x14ac:dyDescent="0.5">
      <c r="A947" s="10" t="s">
        <v>4</v>
      </c>
      <c r="B947" s="3"/>
      <c r="C947" s="3"/>
      <c r="D947" s="3"/>
      <c r="E947" s="4" t="s">
        <v>1</v>
      </c>
      <c r="F947" s="4"/>
      <c r="G947" s="38" t="s">
        <v>508</v>
      </c>
      <c r="H947" s="42">
        <f t="shared" ref="H947" si="704">H926+1</f>
        <v>46</v>
      </c>
      <c r="I947" t="s">
        <v>509</v>
      </c>
    </row>
    <row r="948" spans="1:9" ht="18.600000000000001" thickBot="1" x14ac:dyDescent="0.5">
      <c r="A948" s="133" t="s">
        <v>5</v>
      </c>
      <c r="B948" s="133"/>
      <c r="C948" s="133"/>
      <c r="D948" s="133"/>
      <c r="E948" s="11" t="s">
        <v>0</v>
      </c>
      <c r="F948" s="3"/>
      <c r="G948" s="36" t="s">
        <v>464</v>
      </c>
      <c r="H948" s="37">
        <f t="shared" ref="H948:H953" si="705">H927</f>
        <v>3980</v>
      </c>
      <c r="I948" t="s">
        <v>465</v>
      </c>
    </row>
    <row r="949" spans="1:9" ht="18.600000000000001" thickBot="1" x14ac:dyDescent="0.5">
      <c r="A949" s="85"/>
      <c r="B949" s="87"/>
      <c r="C949" s="127" t="s">
        <v>3</v>
      </c>
      <c r="D949" s="128"/>
      <c r="E949" s="29">
        <f t="shared" ref="E949" si="706">IF(H951="",0,H951)</f>
        <v>0</v>
      </c>
      <c r="F949" s="3"/>
      <c r="G949" s="25" t="s">
        <v>466</v>
      </c>
      <c r="H949" s="43">
        <f t="shared" si="705"/>
        <v>0.65</v>
      </c>
      <c r="I949" t="s">
        <v>469</v>
      </c>
    </row>
    <row r="950" spans="1:9" ht="18.600000000000001" thickBot="1" x14ac:dyDescent="0.5">
      <c r="A950" s="86"/>
      <c r="B950" s="88"/>
      <c r="C950" s="127" t="s">
        <v>6</v>
      </c>
      <c r="D950" s="128"/>
      <c r="E950" s="19">
        <f>IF(H954="",$H$7*0.06,H954)</f>
        <v>238.79999999999998</v>
      </c>
      <c r="F950" s="3"/>
      <c r="G950" s="25" t="s">
        <v>467</v>
      </c>
      <c r="H950" s="37">
        <f t="shared" si="705"/>
        <v>35</v>
      </c>
      <c r="I950" t="s">
        <v>468</v>
      </c>
    </row>
    <row r="951" spans="1:9" ht="18.600000000000001" thickBot="1" x14ac:dyDescent="0.5">
      <c r="A951" s="86"/>
      <c r="B951" s="91" t="s">
        <v>7</v>
      </c>
      <c r="C951" s="92"/>
      <c r="D951" s="92"/>
      <c r="E951" s="19">
        <f t="shared" ref="E951" si="707">SUM(E949:E950)</f>
        <v>238.79999999999998</v>
      </c>
      <c r="F951" s="3"/>
      <c r="G951" s="28" t="s">
        <v>3</v>
      </c>
      <c r="H951" s="37">
        <f t="shared" si="705"/>
        <v>0</v>
      </c>
      <c r="I951" t="s">
        <v>465</v>
      </c>
    </row>
    <row r="952" spans="1:9" ht="18.600000000000001" thickBot="1" x14ac:dyDescent="0.5">
      <c r="A952" s="86"/>
      <c r="B952" s="7"/>
      <c r="C952" s="5" t="s">
        <v>8</v>
      </c>
      <c r="D952" s="5"/>
      <c r="E952" s="49">
        <f>_xlfn.SWITCH(H947,1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952" s="3"/>
      <c r="G952" s="28" t="s">
        <v>16</v>
      </c>
      <c r="H952" s="37">
        <f>真実の家賃!$I$8*AD48</f>
        <v>2507.4</v>
      </c>
      <c r="I952" t="s">
        <v>465</v>
      </c>
    </row>
    <row r="953" spans="1:9" ht="18.600000000000001" thickBot="1" x14ac:dyDescent="0.5">
      <c r="A953" s="86"/>
      <c r="B953" s="8"/>
      <c r="C953" s="127" t="s">
        <v>2</v>
      </c>
      <c r="D953" s="128"/>
      <c r="E953" s="19">
        <f t="shared" ref="E953" si="708">IF(H955="",H947*15,H955)</f>
        <v>690</v>
      </c>
      <c r="F953" s="3"/>
      <c r="G953" s="56" t="s">
        <v>573</v>
      </c>
      <c r="H953" s="40" t="str">
        <f t="shared" si="705"/>
        <v/>
      </c>
      <c r="I953" t="s">
        <v>465</v>
      </c>
    </row>
    <row r="954" spans="1:9" ht="18.600000000000001" thickBot="1" x14ac:dyDescent="0.5">
      <c r="A954" s="86"/>
      <c r="B954" s="8"/>
      <c r="C954" s="129" t="s">
        <v>9</v>
      </c>
      <c r="D954" s="129"/>
      <c r="E954" s="19">
        <f t="shared" ref="E954" si="709">_xlfn.SWITCH(H947,1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954" s="3"/>
      <c r="G954" s="34" t="s">
        <v>6</v>
      </c>
      <c r="H954" s="40" t="str">
        <f t="shared" si="673"/>
        <v/>
      </c>
      <c r="I954" t="s">
        <v>465</v>
      </c>
    </row>
    <row r="955" spans="1:9" ht="18.600000000000001" thickBot="1" x14ac:dyDescent="0.5">
      <c r="A955" s="86"/>
      <c r="B955" s="8"/>
      <c r="C955" s="130" t="s">
        <v>10</v>
      </c>
      <c r="D955" s="131"/>
      <c r="E955" s="19">
        <f t="shared" ref="E955" si="710">IF(H953="",$AA$3,H947*H953)</f>
        <v>0</v>
      </c>
      <c r="F955" s="3"/>
      <c r="G955" s="28" t="s">
        <v>560</v>
      </c>
      <c r="H955" s="40" t="str">
        <f t="shared" si="673"/>
        <v/>
      </c>
      <c r="I955" t="s">
        <v>465</v>
      </c>
    </row>
    <row r="956" spans="1:9" ht="18.600000000000001" thickBot="1" x14ac:dyDescent="0.5">
      <c r="A956" s="86"/>
      <c r="B956" s="132" t="s">
        <v>11</v>
      </c>
      <c r="C956" s="126"/>
      <c r="D956" s="126"/>
      <c r="E956" s="19">
        <f t="shared" ref="E956" si="711">SUM(E952:E955)</f>
        <v>4845.1667248000003</v>
      </c>
      <c r="F956" s="3"/>
      <c r="G956" s="33" t="s">
        <v>561</v>
      </c>
      <c r="H956" s="41" t="str">
        <f t="shared" si="673"/>
        <v/>
      </c>
      <c r="I956" t="s">
        <v>465</v>
      </c>
    </row>
    <row r="957" spans="1:9" ht="18.600000000000001" thickBot="1" x14ac:dyDescent="0.5">
      <c r="A957" s="86"/>
      <c r="B957" s="7"/>
      <c r="C957" s="127" t="s">
        <v>12</v>
      </c>
      <c r="D957" s="128"/>
      <c r="E957" s="19">
        <f t="shared" ref="E957" si="712">_xlfn.SWITCH(H947,1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957" s="3"/>
      <c r="G957" s="32"/>
    </row>
    <row r="958" spans="1:9" ht="18.600000000000001" thickBot="1" x14ac:dyDescent="0.5">
      <c r="A958" s="86"/>
      <c r="B958" s="8"/>
      <c r="C958" s="127" t="s">
        <v>13</v>
      </c>
      <c r="D958" s="128"/>
      <c r="E958" s="19">
        <f t="shared" ref="E958" si="713">IF(H956="",H952*0.05,H956)</f>
        <v>125.37</v>
      </c>
      <c r="F958" s="3"/>
      <c r="G958" s="30"/>
    </row>
    <row r="959" spans="1:9" ht="18.600000000000001" thickBot="1" x14ac:dyDescent="0.5">
      <c r="A959" s="86"/>
      <c r="B959" s="132" t="s">
        <v>14</v>
      </c>
      <c r="C959" s="126"/>
      <c r="D959" s="126"/>
      <c r="E959" s="19">
        <f t="shared" ref="E959" si="714">SUM(E957:E958)</f>
        <v>125.37</v>
      </c>
      <c r="F959" s="3"/>
      <c r="G959" s="30"/>
    </row>
    <row r="960" spans="1:9" ht="18.600000000000001" thickBot="1" x14ac:dyDescent="0.5">
      <c r="A960" s="97" t="s">
        <v>15</v>
      </c>
      <c r="B960" s="98"/>
      <c r="C960" s="98"/>
      <c r="D960" s="99"/>
      <c r="E960" s="20">
        <f t="shared" ref="E960" si="715">E951+E956+E959</f>
        <v>5209.3367248000004</v>
      </c>
      <c r="F960" s="3"/>
      <c r="G960" s="30"/>
    </row>
    <row r="961" spans="1:9" ht="18.600000000000001" thickBot="1" x14ac:dyDescent="0.5">
      <c r="A961" s="6"/>
      <c r="B961" s="126" t="s">
        <v>16</v>
      </c>
      <c r="C961" s="126"/>
      <c r="D961" s="126"/>
      <c r="E961" s="19">
        <f t="shared" ref="E961" si="716">H952</f>
        <v>2507.4</v>
      </c>
      <c r="F961" s="3"/>
    </row>
    <row r="962" spans="1:9" ht="18.600000000000001" thickBot="1" x14ac:dyDescent="0.5">
      <c r="A962" s="97" t="s">
        <v>17</v>
      </c>
      <c r="B962" s="98"/>
      <c r="C962" s="98"/>
      <c r="D962" s="99"/>
      <c r="E962" s="20">
        <f t="shared" ref="E962" si="717">E961</f>
        <v>2507.4</v>
      </c>
      <c r="F962" s="3"/>
    </row>
    <row r="963" spans="1:9" ht="18.600000000000001" thickBot="1" x14ac:dyDescent="0.5">
      <c r="A963" s="96" t="s">
        <v>18</v>
      </c>
      <c r="B963" s="96"/>
      <c r="C963" s="96"/>
      <c r="D963" s="96"/>
      <c r="E963" s="14">
        <f t="shared" ref="E963" si="718">12*H947</f>
        <v>552</v>
      </c>
      <c r="F963" s="3"/>
    </row>
    <row r="964" spans="1:9" ht="18.600000000000001" thickBot="1" x14ac:dyDescent="0.5">
      <c r="A964" s="3"/>
      <c r="B964" s="3"/>
      <c r="C964" s="3"/>
      <c r="D964" s="3"/>
      <c r="E964" s="3"/>
      <c r="F964" s="3"/>
    </row>
    <row r="965" spans="1:9" ht="18.600000000000001" thickBot="1" x14ac:dyDescent="0.5">
      <c r="A965" s="12" t="s">
        <v>19</v>
      </c>
      <c r="B965" s="12"/>
      <c r="C965" s="12"/>
      <c r="D965" s="12"/>
      <c r="E965" s="15">
        <f t="shared" ref="E965" si="719">-((E962-E960)/E963)</f>
        <v>4.8948129072463775</v>
      </c>
      <c r="F965" s="3" t="s">
        <v>20</v>
      </c>
    </row>
    <row r="966" spans="1:9" x14ac:dyDescent="0.45">
      <c r="A966" s="3"/>
      <c r="B966" s="3"/>
      <c r="C966" s="3"/>
      <c r="D966" s="3"/>
      <c r="E966" s="3"/>
      <c r="F966" s="3"/>
    </row>
    <row r="967" spans="1:9" ht="18.600000000000001" thickBot="1" x14ac:dyDescent="0.5">
      <c r="A967" s="3"/>
      <c r="B967" s="3"/>
      <c r="D967" s="3"/>
      <c r="E967" s="3"/>
      <c r="F967" s="3"/>
    </row>
    <row r="968" spans="1:9" ht="18.600000000000001" thickBot="1" x14ac:dyDescent="0.5">
      <c r="A968" s="10" t="s">
        <v>4</v>
      </c>
      <c r="B968" s="3"/>
      <c r="C968" s="3"/>
      <c r="D968" s="3"/>
      <c r="E968" s="4" t="s">
        <v>1</v>
      </c>
      <c r="F968" s="4"/>
      <c r="G968" s="38" t="s">
        <v>508</v>
      </c>
      <c r="H968" s="42">
        <f t="shared" ref="H968" si="720">H947+1</f>
        <v>47</v>
      </c>
      <c r="I968" t="s">
        <v>509</v>
      </c>
    </row>
    <row r="969" spans="1:9" ht="18.600000000000001" thickBot="1" x14ac:dyDescent="0.5">
      <c r="A969" s="133" t="s">
        <v>5</v>
      </c>
      <c r="B969" s="133"/>
      <c r="C969" s="133"/>
      <c r="D969" s="133"/>
      <c r="E969" s="11" t="s">
        <v>0</v>
      </c>
      <c r="F969" s="3"/>
      <c r="G969" s="36" t="s">
        <v>464</v>
      </c>
      <c r="H969" s="37">
        <f t="shared" ref="H969:H974" si="721">H948</f>
        <v>3980</v>
      </c>
      <c r="I969" t="s">
        <v>465</v>
      </c>
    </row>
    <row r="970" spans="1:9" ht="18.600000000000001" thickBot="1" x14ac:dyDescent="0.5">
      <c r="A970" s="85"/>
      <c r="B970" s="87"/>
      <c r="C970" s="127" t="s">
        <v>3</v>
      </c>
      <c r="D970" s="128"/>
      <c r="E970" s="29">
        <f t="shared" ref="E970" si="722">IF(H972="",0,H972)</f>
        <v>0</v>
      </c>
      <c r="F970" s="3"/>
      <c r="G970" s="25" t="s">
        <v>466</v>
      </c>
      <c r="H970" s="43">
        <f t="shared" si="721"/>
        <v>0.65</v>
      </c>
      <c r="I970" t="s">
        <v>469</v>
      </c>
    </row>
    <row r="971" spans="1:9" ht="18.600000000000001" thickBot="1" x14ac:dyDescent="0.5">
      <c r="A971" s="86"/>
      <c r="B971" s="88"/>
      <c r="C971" s="127" t="s">
        <v>6</v>
      </c>
      <c r="D971" s="128"/>
      <c r="E971" s="19">
        <f>IF(H975="",$H$7*0.06,H975)</f>
        <v>238.79999999999998</v>
      </c>
      <c r="F971" s="3"/>
      <c r="G971" s="25" t="s">
        <v>467</v>
      </c>
      <c r="H971" s="37">
        <f t="shared" si="721"/>
        <v>35</v>
      </c>
      <c r="I971" t="s">
        <v>468</v>
      </c>
    </row>
    <row r="972" spans="1:9" ht="18.600000000000001" thickBot="1" x14ac:dyDescent="0.5">
      <c r="A972" s="86"/>
      <c r="B972" s="91" t="s">
        <v>7</v>
      </c>
      <c r="C972" s="92"/>
      <c r="D972" s="92"/>
      <c r="E972" s="19">
        <f t="shared" ref="E972" si="723">SUM(E970:E971)</f>
        <v>238.79999999999998</v>
      </c>
      <c r="F972" s="3"/>
      <c r="G972" s="28" t="s">
        <v>3</v>
      </c>
      <c r="H972" s="37">
        <f t="shared" si="721"/>
        <v>0</v>
      </c>
      <c r="I972" t="s">
        <v>465</v>
      </c>
    </row>
    <row r="973" spans="1:9" ht="18.600000000000001" thickBot="1" x14ac:dyDescent="0.5">
      <c r="A973" s="86"/>
      <c r="B973" s="7"/>
      <c r="C973" s="5" t="s">
        <v>8</v>
      </c>
      <c r="D973" s="5"/>
      <c r="E973" s="49">
        <f>_xlfn.SWITCH(H968,1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973" s="3"/>
      <c r="G973" s="28" t="s">
        <v>16</v>
      </c>
      <c r="H973" s="37">
        <f>真実の家賃!$I$8*AD49</f>
        <v>2507.4</v>
      </c>
      <c r="I973" t="s">
        <v>465</v>
      </c>
    </row>
    <row r="974" spans="1:9" ht="18.600000000000001" thickBot="1" x14ac:dyDescent="0.5">
      <c r="A974" s="86"/>
      <c r="B974" s="8"/>
      <c r="C974" s="127" t="s">
        <v>2</v>
      </c>
      <c r="D974" s="128"/>
      <c r="E974" s="19">
        <f t="shared" ref="E974" si="724">IF(H976="",H968*15,H976)</f>
        <v>705</v>
      </c>
      <c r="F974" s="3"/>
      <c r="G974" s="56" t="s">
        <v>573</v>
      </c>
      <c r="H974" s="40" t="str">
        <f t="shared" si="721"/>
        <v/>
      </c>
      <c r="I974" t="s">
        <v>465</v>
      </c>
    </row>
    <row r="975" spans="1:9" ht="18.600000000000001" thickBot="1" x14ac:dyDescent="0.5">
      <c r="A975" s="86"/>
      <c r="B975" s="8"/>
      <c r="C975" s="129" t="s">
        <v>9</v>
      </c>
      <c r="D975" s="129"/>
      <c r="E975" s="19">
        <f t="shared" ref="E975" si="725">_xlfn.SWITCH(H968,1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975" s="3"/>
      <c r="G975" s="34" t="s">
        <v>6</v>
      </c>
      <c r="H975" s="40" t="str">
        <f t="shared" si="689"/>
        <v/>
      </c>
      <c r="I975" t="s">
        <v>465</v>
      </c>
    </row>
    <row r="976" spans="1:9" ht="18.600000000000001" thickBot="1" x14ac:dyDescent="0.5">
      <c r="A976" s="86"/>
      <c r="B976" s="8"/>
      <c r="C976" s="130" t="s">
        <v>10</v>
      </c>
      <c r="D976" s="131"/>
      <c r="E976" s="19">
        <f t="shared" ref="E976" si="726">IF(H974="",$AA$3,H968*H974)</f>
        <v>0</v>
      </c>
      <c r="F976" s="3"/>
      <c r="G976" s="28" t="s">
        <v>560</v>
      </c>
      <c r="H976" s="40" t="str">
        <f t="shared" si="689"/>
        <v/>
      </c>
      <c r="I976" t="s">
        <v>465</v>
      </c>
    </row>
    <row r="977" spans="1:9" ht="18.600000000000001" thickBot="1" x14ac:dyDescent="0.5">
      <c r="A977" s="86"/>
      <c r="B977" s="132" t="s">
        <v>11</v>
      </c>
      <c r="C977" s="126"/>
      <c r="D977" s="126"/>
      <c r="E977" s="19">
        <f t="shared" ref="E977" si="727">SUM(E973:E976)</f>
        <v>4860.1667248000003</v>
      </c>
      <c r="F977" s="3"/>
      <c r="G977" s="33" t="s">
        <v>561</v>
      </c>
      <c r="H977" s="41" t="str">
        <f t="shared" si="689"/>
        <v/>
      </c>
      <c r="I977" t="s">
        <v>465</v>
      </c>
    </row>
    <row r="978" spans="1:9" ht="18.600000000000001" thickBot="1" x14ac:dyDescent="0.5">
      <c r="A978" s="86"/>
      <c r="B978" s="7"/>
      <c r="C978" s="127" t="s">
        <v>12</v>
      </c>
      <c r="D978" s="128"/>
      <c r="E978" s="19">
        <f t="shared" ref="E978" si="728">_xlfn.SWITCH(H968,1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978" s="3"/>
      <c r="G978" s="32"/>
    </row>
    <row r="979" spans="1:9" ht="18.600000000000001" thickBot="1" x14ac:dyDescent="0.5">
      <c r="A979" s="86"/>
      <c r="B979" s="8"/>
      <c r="C979" s="127" t="s">
        <v>13</v>
      </c>
      <c r="D979" s="128"/>
      <c r="E979" s="19">
        <f t="shared" ref="E979" si="729">IF(H977="",H973*0.05,H977)</f>
        <v>125.37</v>
      </c>
      <c r="F979" s="3"/>
      <c r="G979" s="30"/>
    </row>
    <row r="980" spans="1:9" ht="18.600000000000001" thickBot="1" x14ac:dyDescent="0.5">
      <c r="A980" s="86"/>
      <c r="B980" s="132" t="s">
        <v>14</v>
      </c>
      <c r="C980" s="126"/>
      <c r="D980" s="126"/>
      <c r="E980" s="19">
        <f t="shared" ref="E980" si="730">SUM(E978:E979)</f>
        <v>125.37</v>
      </c>
      <c r="F980" s="3"/>
      <c r="G980" s="30"/>
    </row>
    <row r="981" spans="1:9" ht="18.600000000000001" thickBot="1" x14ac:dyDescent="0.5">
      <c r="A981" s="97" t="s">
        <v>15</v>
      </c>
      <c r="B981" s="98"/>
      <c r="C981" s="98"/>
      <c r="D981" s="99"/>
      <c r="E981" s="20">
        <f t="shared" ref="E981" si="731">E972+E977+E980</f>
        <v>5224.3367248000004</v>
      </c>
      <c r="F981" s="3"/>
      <c r="G981" s="30"/>
    </row>
    <row r="982" spans="1:9" ht="18.600000000000001" thickBot="1" x14ac:dyDescent="0.5">
      <c r="A982" s="6"/>
      <c r="B982" s="126" t="s">
        <v>16</v>
      </c>
      <c r="C982" s="126"/>
      <c r="D982" s="126"/>
      <c r="E982" s="19">
        <f t="shared" ref="E982" si="732">H973</f>
        <v>2507.4</v>
      </c>
      <c r="F982" s="3"/>
    </row>
    <row r="983" spans="1:9" ht="18.600000000000001" thickBot="1" x14ac:dyDescent="0.5">
      <c r="A983" s="97" t="s">
        <v>17</v>
      </c>
      <c r="B983" s="98"/>
      <c r="C983" s="98"/>
      <c r="D983" s="99"/>
      <c r="E983" s="20">
        <f t="shared" ref="E983" si="733">E982</f>
        <v>2507.4</v>
      </c>
      <c r="F983" s="3"/>
    </row>
    <row r="984" spans="1:9" ht="18.600000000000001" thickBot="1" x14ac:dyDescent="0.5">
      <c r="A984" s="96" t="s">
        <v>18</v>
      </c>
      <c r="B984" s="96"/>
      <c r="C984" s="96"/>
      <c r="D984" s="96"/>
      <c r="E984" s="14">
        <f t="shared" ref="E984" si="734">12*H968</f>
        <v>564</v>
      </c>
      <c r="F984" s="3"/>
    </row>
    <row r="985" spans="1:9" ht="18.600000000000001" thickBot="1" x14ac:dyDescent="0.5">
      <c r="A985" s="3"/>
      <c r="B985" s="3"/>
      <c r="C985" s="3"/>
      <c r="D985" s="3"/>
      <c r="E985" s="3"/>
      <c r="F985" s="3"/>
    </row>
    <row r="986" spans="1:9" ht="18.600000000000001" thickBot="1" x14ac:dyDescent="0.5">
      <c r="A986" s="12" t="s">
        <v>19</v>
      </c>
      <c r="B986" s="12"/>
      <c r="C986" s="12"/>
      <c r="D986" s="12"/>
      <c r="E986" s="15">
        <f t="shared" ref="E986" si="735">-((E983-E981)/E984)</f>
        <v>4.8172636964539013</v>
      </c>
      <c r="F986" s="3" t="s">
        <v>20</v>
      </c>
    </row>
    <row r="987" spans="1:9" x14ac:dyDescent="0.45">
      <c r="A987" s="3"/>
      <c r="B987" s="3"/>
      <c r="C987" s="3"/>
      <c r="D987" s="3"/>
      <c r="E987" s="3"/>
      <c r="F987" s="3"/>
    </row>
    <row r="988" spans="1:9" ht="18.600000000000001" thickBot="1" x14ac:dyDescent="0.5">
      <c r="A988" s="3"/>
      <c r="B988" s="3"/>
      <c r="D988" s="3"/>
      <c r="E988" s="3"/>
      <c r="F988" s="3"/>
    </row>
    <row r="989" spans="1:9" ht="18.600000000000001" thickBot="1" x14ac:dyDescent="0.5">
      <c r="A989" s="10" t="s">
        <v>4</v>
      </c>
      <c r="B989" s="3"/>
      <c r="C989" s="3"/>
      <c r="D989" s="3"/>
      <c r="E989" s="4" t="s">
        <v>1</v>
      </c>
      <c r="F989" s="4"/>
      <c r="G989" s="38" t="s">
        <v>508</v>
      </c>
      <c r="H989" s="42">
        <f t="shared" ref="H989" si="736">H968+1</f>
        <v>48</v>
      </c>
      <c r="I989" t="s">
        <v>509</v>
      </c>
    </row>
    <row r="990" spans="1:9" ht="18.600000000000001" thickBot="1" x14ac:dyDescent="0.5">
      <c r="A990" s="133" t="s">
        <v>5</v>
      </c>
      <c r="B990" s="133"/>
      <c r="C990" s="133"/>
      <c r="D990" s="133"/>
      <c r="E990" s="11" t="s">
        <v>0</v>
      </c>
      <c r="F990" s="3"/>
      <c r="G990" s="36" t="s">
        <v>464</v>
      </c>
      <c r="H990" s="37">
        <f t="shared" ref="H990:H1040" si="737">H969</f>
        <v>3980</v>
      </c>
      <c r="I990" t="s">
        <v>465</v>
      </c>
    </row>
    <row r="991" spans="1:9" ht="18.600000000000001" thickBot="1" x14ac:dyDescent="0.5">
      <c r="A991" s="85"/>
      <c r="B991" s="87"/>
      <c r="C991" s="127" t="s">
        <v>3</v>
      </c>
      <c r="D991" s="128"/>
      <c r="E991" s="29">
        <f t="shared" ref="E991" si="738">IF(H993="",0,H993)</f>
        <v>0</v>
      </c>
      <c r="F991" s="3"/>
      <c r="G991" s="25" t="s">
        <v>466</v>
      </c>
      <c r="H991" s="43">
        <f t="shared" si="737"/>
        <v>0.65</v>
      </c>
      <c r="I991" t="s">
        <v>469</v>
      </c>
    </row>
    <row r="992" spans="1:9" ht="18.600000000000001" thickBot="1" x14ac:dyDescent="0.5">
      <c r="A992" s="86"/>
      <c r="B992" s="88"/>
      <c r="C992" s="127" t="s">
        <v>6</v>
      </c>
      <c r="D992" s="128"/>
      <c r="E992" s="19">
        <f>IF(H996="",$H$7*0.06,H996)</f>
        <v>238.79999999999998</v>
      </c>
      <c r="F992" s="3"/>
      <c r="G992" s="25" t="s">
        <v>467</v>
      </c>
      <c r="H992" s="37">
        <f t="shared" si="737"/>
        <v>35</v>
      </c>
      <c r="I992" t="s">
        <v>468</v>
      </c>
    </row>
    <row r="993" spans="1:9" ht="18.600000000000001" thickBot="1" x14ac:dyDescent="0.5">
      <c r="A993" s="86"/>
      <c r="B993" s="91" t="s">
        <v>7</v>
      </c>
      <c r="C993" s="92"/>
      <c r="D993" s="92"/>
      <c r="E993" s="19">
        <f t="shared" ref="E993" si="739">SUM(E991:E992)</f>
        <v>238.79999999999998</v>
      </c>
      <c r="F993" s="3"/>
      <c r="G993" s="28" t="s">
        <v>3</v>
      </c>
      <c r="H993" s="37">
        <f t="shared" si="737"/>
        <v>0</v>
      </c>
      <c r="I993" t="s">
        <v>465</v>
      </c>
    </row>
    <row r="994" spans="1:9" ht="18.600000000000001" thickBot="1" x14ac:dyDescent="0.5">
      <c r="A994" s="86"/>
      <c r="B994" s="7"/>
      <c r="C994" s="5" t="s">
        <v>8</v>
      </c>
      <c r="D994" s="5"/>
      <c r="E994" s="49">
        <f>_xlfn.SWITCH(H989,1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994" s="3"/>
      <c r="G994" s="28" t="s">
        <v>16</v>
      </c>
      <c r="H994" s="37">
        <f>真実の家賃!$I$8*AD50</f>
        <v>2507.4</v>
      </c>
      <c r="I994" t="s">
        <v>465</v>
      </c>
    </row>
    <row r="995" spans="1:9" ht="18.600000000000001" thickBot="1" x14ac:dyDescent="0.5">
      <c r="A995" s="86"/>
      <c r="B995" s="8"/>
      <c r="C995" s="127" t="s">
        <v>2</v>
      </c>
      <c r="D995" s="128"/>
      <c r="E995" s="19">
        <f t="shared" ref="E995" si="740">IF(H997="",H989*15,H997)</f>
        <v>720</v>
      </c>
      <c r="F995" s="3"/>
      <c r="G995" s="56" t="s">
        <v>573</v>
      </c>
      <c r="H995" s="40" t="str">
        <f t="shared" si="737"/>
        <v/>
      </c>
      <c r="I995" t="s">
        <v>465</v>
      </c>
    </row>
    <row r="996" spans="1:9" ht="18.600000000000001" thickBot="1" x14ac:dyDescent="0.5">
      <c r="A996" s="86"/>
      <c r="B996" s="8"/>
      <c r="C996" s="129" t="s">
        <v>9</v>
      </c>
      <c r="D996" s="129"/>
      <c r="E996" s="19">
        <f t="shared" ref="E996" si="741">_xlfn.SWITCH(H989,1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996" s="3"/>
      <c r="G996" s="34" t="s">
        <v>6</v>
      </c>
      <c r="H996" s="40" t="str">
        <f t="shared" si="737"/>
        <v/>
      </c>
      <c r="I996" t="s">
        <v>465</v>
      </c>
    </row>
    <row r="997" spans="1:9" ht="18.600000000000001" thickBot="1" x14ac:dyDescent="0.5">
      <c r="A997" s="86"/>
      <c r="B997" s="8"/>
      <c r="C997" s="130" t="s">
        <v>10</v>
      </c>
      <c r="D997" s="131"/>
      <c r="E997" s="19">
        <f t="shared" ref="E997" si="742">IF(H995="",$AA$3,H989*H995)</f>
        <v>0</v>
      </c>
      <c r="F997" s="3"/>
      <c r="G997" s="28" t="s">
        <v>560</v>
      </c>
      <c r="H997" s="40" t="str">
        <f t="shared" si="737"/>
        <v/>
      </c>
      <c r="I997" t="s">
        <v>465</v>
      </c>
    </row>
    <row r="998" spans="1:9" ht="18.600000000000001" thickBot="1" x14ac:dyDescent="0.5">
      <c r="A998" s="86"/>
      <c r="B998" s="132" t="s">
        <v>11</v>
      </c>
      <c r="C998" s="126"/>
      <c r="D998" s="126"/>
      <c r="E998" s="19">
        <f t="shared" ref="E998" si="743">SUM(E994:E997)</f>
        <v>4875.1667248000003</v>
      </c>
      <c r="F998" s="3"/>
      <c r="G998" s="33" t="s">
        <v>561</v>
      </c>
      <c r="H998" s="41" t="str">
        <f t="shared" si="737"/>
        <v/>
      </c>
      <c r="I998" t="s">
        <v>465</v>
      </c>
    </row>
    <row r="999" spans="1:9" ht="18.600000000000001" thickBot="1" x14ac:dyDescent="0.5">
      <c r="A999" s="86"/>
      <c r="B999" s="7"/>
      <c r="C999" s="127" t="s">
        <v>12</v>
      </c>
      <c r="D999" s="128"/>
      <c r="E999" s="19">
        <f t="shared" ref="E999" si="744">_xlfn.SWITCH(H989,1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999" s="3"/>
      <c r="G999" s="32"/>
    </row>
    <row r="1000" spans="1:9" ht="18.600000000000001" thickBot="1" x14ac:dyDescent="0.5">
      <c r="A1000" s="86"/>
      <c r="B1000" s="8"/>
      <c r="C1000" s="127" t="s">
        <v>13</v>
      </c>
      <c r="D1000" s="128"/>
      <c r="E1000" s="19">
        <f t="shared" ref="E1000" si="745">IF(H998="",H994*0.05,H998)</f>
        <v>125.37</v>
      </c>
      <c r="F1000" s="3"/>
      <c r="G1000" s="30"/>
    </row>
    <row r="1001" spans="1:9" ht="18.600000000000001" thickBot="1" x14ac:dyDescent="0.5">
      <c r="A1001" s="86"/>
      <c r="B1001" s="132" t="s">
        <v>14</v>
      </c>
      <c r="C1001" s="126"/>
      <c r="D1001" s="126"/>
      <c r="E1001" s="19">
        <f t="shared" ref="E1001" si="746">SUM(E999:E1000)</f>
        <v>125.37</v>
      </c>
      <c r="F1001" s="3"/>
      <c r="G1001" s="30"/>
    </row>
    <row r="1002" spans="1:9" ht="18.600000000000001" thickBot="1" x14ac:dyDescent="0.5">
      <c r="A1002" s="97" t="s">
        <v>15</v>
      </c>
      <c r="B1002" s="98"/>
      <c r="C1002" s="98"/>
      <c r="D1002" s="99"/>
      <c r="E1002" s="20">
        <f t="shared" ref="E1002" si="747">E993+E998+E1001</f>
        <v>5239.3367248000004</v>
      </c>
      <c r="F1002" s="3"/>
      <c r="G1002" s="30"/>
    </row>
    <row r="1003" spans="1:9" ht="18.600000000000001" thickBot="1" x14ac:dyDescent="0.5">
      <c r="A1003" s="6"/>
      <c r="B1003" s="126" t="s">
        <v>16</v>
      </c>
      <c r="C1003" s="126"/>
      <c r="D1003" s="126"/>
      <c r="E1003" s="19">
        <f t="shared" ref="E1003" si="748">H994</f>
        <v>2507.4</v>
      </c>
      <c r="F1003" s="3"/>
    </row>
    <row r="1004" spans="1:9" ht="18.600000000000001" thickBot="1" x14ac:dyDescent="0.5">
      <c r="A1004" s="97" t="s">
        <v>17</v>
      </c>
      <c r="B1004" s="98"/>
      <c r="C1004" s="98"/>
      <c r="D1004" s="99"/>
      <c r="E1004" s="20">
        <f t="shared" ref="E1004" si="749">E1003</f>
        <v>2507.4</v>
      </c>
      <c r="F1004" s="3"/>
    </row>
    <row r="1005" spans="1:9" ht="18.600000000000001" thickBot="1" x14ac:dyDescent="0.5">
      <c r="A1005" s="96" t="s">
        <v>18</v>
      </c>
      <c r="B1005" s="96"/>
      <c r="C1005" s="96"/>
      <c r="D1005" s="96"/>
      <c r="E1005" s="14">
        <f t="shared" ref="E1005" si="750">12*H989</f>
        <v>576</v>
      </c>
      <c r="F1005" s="3"/>
    </row>
    <row r="1006" spans="1:9" ht="18.600000000000001" thickBot="1" x14ac:dyDescent="0.5">
      <c r="A1006" s="3"/>
      <c r="B1006" s="3"/>
      <c r="C1006" s="3"/>
      <c r="D1006" s="3"/>
      <c r="E1006" s="3"/>
      <c r="F1006" s="3"/>
    </row>
    <row r="1007" spans="1:9" ht="18.600000000000001" thickBot="1" x14ac:dyDescent="0.5">
      <c r="A1007" s="12" t="s">
        <v>19</v>
      </c>
      <c r="B1007" s="12"/>
      <c r="C1007" s="12"/>
      <c r="D1007" s="12"/>
      <c r="E1007" s="15">
        <f t="shared" ref="E1007" si="751">-((E1004-E1002)/E1005)</f>
        <v>4.7429457027777779</v>
      </c>
      <c r="F1007" s="3" t="s">
        <v>20</v>
      </c>
    </row>
    <row r="1008" spans="1:9" x14ac:dyDescent="0.45">
      <c r="A1008" s="3"/>
      <c r="B1008" s="3"/>
      <c r="C1008" s="3"/>
      <c r="D1008" s="3"/>
      <c r="E1008" s="3"/>
      <c r="F1008" s="3"/>
    </row>
    <row r="1009" spans="1:9" ht="18.600000000000001" thickBot="1" x14ac:dyDescent="0.5">
      <c r="A1009" s="3"/>
      <c r="B1009" s="3"/>
      <c r="D1009" s="3"/>
      <c r="E1009" s="3"/>
      <c r="F1009" s="3"/>
    </row>
    <row r="1010" spans="1:9" ht="18.600000000000001" thickBot="1" x14ac:dyDescent="0.5">
      <c r="A1010" s="10" t="s">
        <v>4</v>
      </c>
      <c r="B1010" s="3"/>
      <c r="C1010" s="3"/>
      <c r="D1010" s="3"/>
      <c r="E1010" s="4" t="s">
        <v>1</v>
      </c>
      <c r="F1010" s="4"/>
      <c r="G1010" s="38" t="s">
        <v>508</v>
      </c>
      <c r="H1010" s="42">
        <f t="shared" ref="H1010" si="752">H989+1</f>
        <v>49</v>
      </c>
      <c r="I1010" t="s">
        <v>509</v>
      </c>
    </row>
    <row r="1011" spans="1:9" ht="18.600000000000001" thickBot="1" x14ac:dyDescent="0.5">
      <c r="A1011" s="133" t="s">
        <v>5</v>
      </c>
      <c r="B1011" s="133"/>
      <c r="C1011" s="133"/>
      <c r="D1011" s="133"/>
      <c r="E1011" s="11" t="s">
        <v>0</v>
      </c>
      <c r="F1011" s="3"/>
      <c r="G1011" s="36" t="s">
        <v>464</v>
      </c>
      <c r="H1011" s="37">
        <f t="shared" ref="H1011:H1019" si="753">H990</f>
        <v>3980</v>
      </c>
      <c r="I1011" t="s">
        <v>465</v>
      </c>
    </row>
    <row r="1012" spans="1:9" ht="18.600000000000001" thickBot="1" x14ac:dyDescent="0.5">
      <c r="A1012" s="85"/>
      <c r="B1012" s="87"/>
      <c r="C1012" s="127" t="s">
        <v>3</v>
      </c>
      <c r="D1012" s="128"/>
      <c r="E1012" s="29">
        <f t="shared" ref="E1012" si="754">IF(H1014="",0,H1014)</f>
        <v>0</v>
      </c>
      <c r="F1012" s="3"/>
      <c r="G1012" s="25" t="s">
        <v>466</v>
      </c>
      <c r="H1012" s="43">
        <f t="shared" si="753"/>
        <v>0.65</v>
      </c>
      <c r="I1012" t="s">
        <v>469</v>
      </c>
    </row>
    <row r="1013" spans="1:9" ht="18.600000000000001" thickBot="1" x14ac:dyDescent="0.5">
      <c r="A1013" s="86"/>
      <c r="B1013" s="88"/>
      <c r="C1013" s="127" t="s">
        <v>6</v>
      </c>
      <c r="D1013" s="128"/>
      <c r="E1013" s="19">
        <f>IF(H1017="",$H$7*0.06,H1017)</f>
        <v>238.79999999999998</v>
      </c>
      <c r="F1013" s="3"/>
      <c r="G1013" s="25" t="s">
        <v>467</v>
      </c>
      <c r="H1013" s="37">
        <f t="shared" si="753"/>
        <v>35</v>
      </c>
      <c r="I1013" t="s">
        <v>468</v>
      </c>
    </row>
    <row r="1014" spans="1:9" ht="18.600000000000001" thickBot="1" x14ac:dyDescent="0.5">
      <c r="A1014" s="86"/>
      <c r="B1014" s="91" t="s">
        <v>7</v>
      </c>
      <c r="C1014" s="92"/>
      <c r="D1014" s="92"/>
      <c r="E1014" s="19">
        <f t="shared" ref="E1014" si="755">SUM(E1012:E1013)</f>
        <v>238.79999999999998</v>
      </c>
      <c r="F1014" s="3"/>
      <c r="G1014" s="28" t="s">
        <v>3</v>
      </c>
      <c r="H1014" s="37">
        <f t="shared" si="753"/>
        <v>0</v>
      </c>
      <c r="I1014" t="s">
        <v>465</v>
      </c>
    </row>
    <row r="1015" spans="1:9" ht="18.600000000000001" thickBot="1" x14ac:dyDescent="0.5">
      <c r="A1015" s="86"/>
      <c r="B1015" s="7"/>
      <c r="C1015" s="5" t="s">
        <v>8</v>
      </c>
      <c r="D1015" s="5"/>
      <c r="E1015" s="49">
        <f>_xlfn.SWITCH(H1010,1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1015" s="3"/>
      <c r="G1015" s="28" t="s">
        <v>16</v>
      </c>
      <c r="H1015" s="37">
        <f>真実の家賃!$I$8*AD51</f>
        <v>2507.4</v>
      </c>
      <c r="I1015" t="s">
        <v>465</v>
      </c>
    </row>
    <row r="1016" spans="1:9" ht="18.600000000000001" thickBot="1" x14ac:dyDescent="0.5">
      <c r="A1016" s="86"/>
      <c r="B1016" s="8"/>
      <c r="C1016" s="127" t="s">
        <v>2</v>
      </c>
      <c r="D1016" s="128"/>
      <c r="E1016" s="19">
        <f t="shared" ref="E1016" si="756">IF(H1018="",H1010*15,H1018)</f>
        <v>735</v>
      </c>
      <c r="F1016" s="3"/>
      <c r="G1016" s="56" t="s">
        <v>573</v>
      </c>
      <c r="H1016" s="40" t="str">
        <f t="shared" si="753"/>
        <v/>
      </c>
      <c r="I1016" t="s">
        <v>465</v>
      </c>
    </row>
    <row r="1017" spans="1:9" ht="18.600000000000001" thickBot="1" x14ac:dyDescent="0.5">
      <c r="A1017" s="86"/>
      <c r="B1017" s="8"/>
      <c r="C1017" s="129" t="s">
        <v>9</v>
      </c>
      <c r="D1017" s="129"/>
      <c r="E1017" s="19">
        <f t="shared" ref="E1017" si="757">_xlfn.SWITCH(H1010,1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1017" s="3"/>
      <c r="G1017" s="34" t="s">
        <v>6</v>
      </c>
      <c r="H1017" s="40" t="str">
        <f t="shared" si="753"/>
        <v/>
      </c>
      <c r="I1017" t="s">
        <v>465</v>
      </c>
    </row>
    <row r="1018" spans="1:9" ht="18.600000000000001" thickBot="1" x14ac:dyDescent="0.5">
      <c r="A1018" s="86"/>
      <c r="B1018" s="8"/>
      <c r="C1018" s="130" t="s">
        <v>10</v>
      </c>
      <c r="D1018" s="131"/>
      <c r="E1018" s="19">
        <f t="shared" ref="E1018" si="758">IF(H1016="",$AA$3,H1010*H1016)</f>
        <v>0</v>
      </c>
      <c r="F1018" s="3"/>
      <c r="G1018" s="28" t="s">
        <v>560</v>
      </c>
      <c r="H1018" s="40" t="str">
        <f t="shared" si="753"/>
        <v/>
      </c>
      <c r="I1018" t="s">
        <v>465</v>
      </c>
    </row>
    <row r="1019" spans="1:9" ht="18.600000000000001" thickBot="1" x14ac:dyDescent="0.5">
      <c r="A1019" s="86"/>
      <c r="B1019" s="132" t="s">
        <v>11</v>
      </c>
      <c r="C1019" s="126"/>
      <c r="D1019" s="126"/>
      <c r="E1019" s="19">
        <f t="shared" ref="E1019" si="759">SUM(E1015:E1018)</f>
        <v>4890.1667248000003</v>
      </c>
      <c r="F1019" s="3"/>
      <c r="G1019" s="33" t="s">
        <v>561</v>
      </c>
      <c r="H1019" s="41" t="str">
        <f t="shared" si="753"/>
        <v/>
      </c>
      <c r="I1019" t="s">
        <v>465</v>
      </c>
    </row>
    <row r="1020" spans="1:9" ht="18.600000000000001" thickBot="1" x14ac:dyDescent="0.5">
      <c r="A1020" s="86"/>
      <c r="B1020" s="7"/>
      <c r="C1020" s="127" t="s">
        <v>12</v>
      </c>
      <c r="D1020" s="128"/>
      <c r="E1020" s="19">
        <f t="shared" ref="E1020" si="760">_xlfn.SWITCH(H1010,1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1020" s="3"/>
      <c r="G1020" s="32"/>
    </row>
    <row r="1021" spans="1:9" ht="18.600000000000001" thickBot="1" x14ac:dyDescent="0.5">
      <c r="A1021" s="86"/>
      <c r="B1021" s="8"/>
      <c r="C1021" s="127" t="s">
        <v>13</v>
      </c>
      <c r="D1021" s="128"/>
      <c r="E1021" s="19">
        <f>IF(H1019="",H1015*0.05,H1019)</f>
        <v>125.37</v>
      </c>
      <c r="F1021" s="3"/>
      <c r="G1021" s="30"/>
    </row>
    <row r="1022" spans="1:9" ht="18.600000000000001" thickBot="1" x14ac:dyDescent="0.5">
      <c r="A1022" s="86"/>
      <c r="B1022" s="132" t="s">
        <v>14</v>
      </c>
      <c r="C1022" s="126"/>
      <c r="D1022" s="126"/>
      <c r="E1022" s="19">
        <f t="shared" ref="E1022" si="761">SUM(E1020:E1021)</f>
        <v>125.37</v>
      </c>
      <c r="F1022" s="3"/>
      <c r="G1022" s="30"/>
    </row>
    <row r="1023" spans="1:9" ht="18.600000000000001" thickBot="1" x14ac:dyDescent="0.5">
      <c r="A1023" s="97" t="s">
        <v>15</v>
      </c>
      <c r="B1023" s="98"/>
      <c r="C1023" s="98"/>
      <c r="D1023" s="99"/>
      <c r="E1023" s="20">
        <f t="shared" ref="E1023" si="762">E1014+E1019+E1022</f>
        <v>5254.3367248000004</v>
      </c>
      <c r="F1023" s="3"/>
      <c r="G1023" s="30"/>
    </row>
    <row r="1024" spans="1:9" ht="18.600000000000001" thickBot="1" x14ac:dyDescent="0.5">
      <c r="A1024" s="6"/>
      <c r="B1024" s="126" t="s">
        <v>16</v>
      </c>
      <c r="C1024" s="126"/>
      <c r="D1024" s="126"/>
      <c r="E1024" s="19">
        <f t="shared" ref="E1024" si="763">H1015</f>
        <v>2507.4</v>
      </c>
      <c r="F1024" s="3"/>
    </row>
    <row r="1025" spans="1:9" ht="18.600000000000001" thickBot="1" x14ac:dyDescent="0.5">
      <c r="A1025" s="97" t="s">
        <v>17</v>
      </c>
      <c r="B1025" s="98"/>
      <c r="C1025" s="98"/>
      <c r="D1025" s="99"/>
      <c r="E1025" s="20">
        <f t="shared" ref="E1025" si="764">E1024</f>
        <v>2507.4</v>
      </c>
      <c r="F1025" s="3"/>
    </row>
    <row r="1026" spans="1:9" ht="18.600000000000001" thickBot="1" x14ac:dyDescent="0.5">
      <c r="A1026" s="96" t="s">
        <v>18</v>
      </c>
      <c r="B1026" s="96"/>
      <c r="C1026" s="96"/>
      <c r="D1026" s="96"/>
      <c r="E1026" s="14">
        <f t="shared" ref="E1026" si="765">12*H1010</f>
        <v>588</v>
      </c>
      <c r="F1026" s="3"/>
    </row>
    <row r="1027" spans="1:9" ht="18.600000000000001" thickBot="1" x14ac:dyDescent="0.5">
      <c r="A1027" s="3"/>
      <c r="B1027" s="3"/>
      <c r="C1027" s="3"/>
      <c r="D1027" s="3"/>
      <c r="E1027" s="3"/>
      <c r="F1027" s="3"/>
    </row>
    <row r="1028" spans="1:9" ht="18.600000000000001" thickBot="1" x14ac:dyDescent="0.5">
      <c r="A1028" s="12" t="s">
        <v>19</v>
      </c>
      <c r="B1028" s="12"/>
      <c r="C1028" s="12"/>
      <c r="D1028" s="12"/>
      <c r="E1028" s="15">
        <f t="shared" ref="E1028" si="766">-((E1025-E1023)/E1026)</f>
        <v>4.6716610965986396</v>
      </c>
      <c r="F1028" s="3" t="s">
        <v>20</v>
      </c>
    </row>
    <row r="1029" spans="1:9" x14ac:dyDescent="0.45">
      <c r="A1029" s="3"/>
      <c r="B1029" s="3"/>
      <c r="C1029" s="3"/>
      <c r="D1029" s="3"/>
      <c r="E1029" s="3"/>
      <c r="F1029" s="3"/>
    </row>
    <row r="1030" spans="1:9" ht="18.600000000000001" thickBot="1" x14ac:dyDescent="0.5">
      <c r="A1030" s="3"/>
      <c r="B1030" s="3"/>
      <c r="D1030" s="3"/>
      <c r="E1030" s="3"/>
      <c r="F1030" s="3"/>
    </row>
    <row r="1031" spans="1:9" ht="18.600000000000001" thickBot="1" x14ac:dyDescent="0.5">
      <c r="A1031" s="10" t="s">
        <v>4</v>
      </c>
      <c r="B1031" s="3"/>
      <c r="C1031" s="3"/>
      <c r="D1031" s="3"/>
      <c r="E1031" s="4" t="s">
        <v>1</v>
      </c>
      <c r="F1031" s="4"/>
      <c r="G1031" s="38" t="s">
        <v>508</v>
      </c>
      <c r="H1031" s="42">
        <f>H1010+1</f>
        <v>50</v>
      </c>
      <c r="I1031" t="s">
        <v>509</v>
      </c>
    </row>
    <row r="1032" spans="1:9" ht="18.600000000000001" thickBot="1" x14ac:dyDescent="0.5">
      <c r="A1032" s="133" t="s">
        <v>5</v>
      </c>
      <c r="B1032" s="133"/>
      <c r="C1032" s="133"/>
      <c r="D1032" s="133"/>
      <c r="E1032" s="11" t="s">
        <v>0</v>
      </c>
      <c r="F1032" s="3"/>
      <c r="G1032" s="36" t="s">
        <v>464</v>
      </c>
      <c r="H1032" s="37">
        <f t="shared" ref="H1032:H1037" si="767">H1011</f>
        <v>3980</v>
      </c>
      <c r="I1032" t="s">
        <v>465</v>
      </c>
    </row>
    <row r="1033" spans="1:9" ht="18.600000000000001" thickBot="1" x14ac:dyDescent="0.5">
      <c r="A1033" s="85"/>
      <c r="B1033" s="87"/>
      <c r="C1033" s="127" t="s">
        <v>3</v>
      </c>
      <c r="D1033" s="128"/>
      <c r="E1033" s="29">
        <f>IF(H1035="",0,H1035)</f>
        <v>0</v>
      </c>
      <c r="F1033" s="3"/>
      <c r="G1033" s="25" t="s">
        <v>466</v>
      </c>
      <c r="H1033" s="43">
        <f t="shared" si="767"/>
        <v>0.65</v>
      </c>
      <c r="I1033" t="s">
        <v>469</v>
      </c>
    </row>
    <row r="1034" spans="1:9" ht="18.600000000000001" thickBot="1" x14ac:dyDescent="0.5">
      <c r="A1034" s="86"/>
      <c r="B1034" s="88"/>
      <c r="C1034" s="127" t="s">
        <v>6</v>
      </c>
      <c r="D1034" s="128"/>
      <c r="E1034" s="19">
        <f>IF(H1038="",$H$7*0.06,H1038)</f>
        <v>238.79999999999998</v>
      </c>
      <c r="F1034" s="3"/>
      <c r="G1034" s="25" t="s">
        <v>467</v>
      </c>
      <c r="H1034" s="37">
        <f t="shared" si="767"/>
        <v>35</v>
      </c>
      <c r="I1034" t="s">
        <v>468</v>
      </c>
    </row>
    <row r="1035" spans="1:9" ht="18.600000000000001" thickBot="1" x14ac:dyDescent="0.5">
      <c r="A1035" s="86"/>
      <c r="B1035" s="91" t="s">
        <v>7</v>
      </c>
      <c r="C1035" s="92"/>
      <c r="D1035" s="92"/>
      <c r="E1035" s="19">
        <f t="shared" ref="E1035" si="768">SUM(E1033:E1034)</f>
        <v>238.79999999999998</v>
      </c>
      <c r="F1035" s="3"/>
      <c r="G1035" s="28" t="s">
        <v>3</v>
      </c>
      <c r="H1035" s="37">
        <f t="shared" si="767"/>
        <v>0</v>
      </c>
      <c r="I1035" t="s">
        <v>465</v>
      </c>
    </row>
    <row r="1036" spans="1:9" ht="18.600000000000001" thickBot="1" x14ac:dyDescent="0.5">
      <c r="A1036" s="86"/>
      <c r="B1036" s="7"/>
      <c r="C1036" s="5" t="s">
        <v>8</v>
      </c>
      <c r="D1036" s="5"/>
      <c r="E1036" s="49">
        <f>_xlfn.SWITCH(H1031,1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4450.9080000000004</v>
      </c>
      <c r="F1036" s="3"/>
      <c r="G1036" s="28" t="s">
        <v>16</v>
      </c>
      <c r="H1036" s="37">
        <f>真実の家賃!$I$8*AD52</f>
        <v>2507.4</v>
      </c>
      <c r="I1036" t="s">
        <v>465</v>
      </c>
    </row>
    <row r="1037" spans="1:9" ht="18.600000000000001" thickBot="1" x14ac:dyDescent="0.5">
      <c r="A1037" s="86"/>
      <c r="B1037" s="8"/>
      <c r="C1037" s="127" t="s">
        <v>2</v>
      </c>
      <c r="D1037" s="128"/>
      <c r="E1037" s="19">
        <f t="shared" ref="E1037" si="769">IF(H1039="",H1031*15,H1039)</f>
        <v>750</v>
      </c>
      <c r="F1037" s="3"/>
      <c r="G1037" s="56" t="s">
        <v>573</v>
      </c>
      <c r="H1037" s="40" t="str">
        <f t="shared" si="767"/>
        <v/>
      </c>
      <c r="I1037" t="s">
        <v>465</v>
      </c>
    </row>
    <row r="1038" spans="1:9" ht="18.600000000000001" thickBot="1" x14ac:dyDescent="0.5">
      <c r="A1038" s="86"/>
      <c r="B1038" s="8"/>
      <c r="C1038" s="129" t="s">
        <v>9</v>
      </c>
      <c r="D1038" s="129"/>
      <c r="E1038" s="19">
        <f t="shared" ref="E1038" si="770">_xlfn.SWITCH(H1031,1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-295.74127519999996</v>
      </c>
      <c r="F1038" s="3"/>
      <c r="G1038" s="34" t="s">
        <v>6</v>
      </c>
      <c r="H1038" s="40" t="str">
        <f t="shared" si="737"/>
        <v/>
      </c>
      <c r="I1038" t="s">
        <v>465</v>
      </c>
    </row>
    <row r="1039" spans="1:9" ht="18.600000000000001" thickBot="1" x14ac:dyDescent="0.5">
      <c r="A1039" s="86"/>
      <c r="B1039" s="8"/>
      <c r="C1039" s="130" t="s">
        <v>10</v>
      </c>
      <c r="D1039" s="131"/>
      <c r="E1039" s="19">
        <f>IF(H1037="",$AA$3,H1031*H1037)</f>
        <v>0</v>
      </c>
      <c r="F1039" s="3"/>
      <c r="G1039" s="28" t="s">
        <v>560</v>
      </c>
      <c r="H1039" s="40" t="str">
        <f t="shared" si="737"/>
        <v/>
      </c>
      <c r="I1039" t="s">
        <v>465</v>
      </c>
    </row>
    <row r="1040" spans="1:9" ht="18.600000000000001" thickBot="1" x14ac:dyDescent="0.5">
      <c r="A1040" s="86"/>
      <c r="B1040" s="132" t="s">
        <v>11</v>
      </c>
      <c r="C1040" s="126"/>
      <c r="D1040" s="126"/>
      <c r="E1040" s="19">
        <f t="shared" ref="E1040" si="771">SUM(E1036:E1039)</f>
        <v>4905.1667248000003</v>
      </c>
      <c r="F1040" s="3"/>
      <c r="G1040" s="33" t="s">
        <v>561</v>
      </c>
      <c r="H1040" s="41" t="str">
        <f t="shared" si="737"/>
        <v/>
      </c>
      <c r="I1040" t="s">
        <v>465</v>
      </c>
    </row>
    <row r="1041" spans="1:7" ht="18.600000000000001" thickBot="1" x14ac:dyDescent="0.5">
      <c r="A1041" s="86"/>
      <c r="B1041" s="7"/>
      <c r="C1041" s="127" t="s">
        <v>12</v>
      </c>
      <c r="D1041" s="128"/>
      <c r="E1041" s="19">
        <f t="shared" ref="E1041" si="772">_xlfn.SWITCH(H1031,1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1041" s="3"/>
      <c r="G1041" s="32"/>
    </row>
    <row r="1042" spans="1:7" ht="18.600000000000001" thickBot="1" x14ac:dyDescent="0.5">
      <c r="A1042" s="86"/>
      <c r="B1042" s="8"/>
      <c r="C1042" s="127" t="s">
        <v>13</v>
      </c>
      <c r="D1042" s="128"/>
      <c r="E1042" s="19">
        <f>IF(H1040="",H1036*0.05,H1040)</f>
        <v>125.37</v>
      </c>
      <c r="F1042" s="3"/>
      <c r="G1042" s="30"/>
    </row>
    <row r="1043" spans="1:7" ht="18.600000000000001" thickBot="1" x14ac:dyDescent="0.5">
      <c r="A1043" s="86"/>
      <c r="B1043" s="132" t="s">
        <v>14</v>
      </c>
      <c r="C1043" s="126"/>
      <c r="D1043" s="126"/>
      <c r="E1043" s="19">
        <f t="shared" ref="E1043" si="773">SUM(E1041:E1042)</f>
        <v>125.37</v>
      </c>
      <c r="F1043" s="3"/>
      <c r="G1043" s="30"/>
    </row>
    <row r="1044" spans="1:7" ht="18.600000000000001" thickBot="1" x14ac:dyDescent="0.5">
      <c r="A1044" s="97" t="s">
        <v>15</v>
      </c>
      <c r="B1044" s="98"/>
      <c r="C1044" s="98"/>
      <c r="D1044" s="99"/>
      <c r="E1044" s="20">
        <f>E1035+E1040+E1043</f>
        <v>5269.3367248000004</v>
      </c>
      <c r="F1044" s="3"/>
      <c r="G1044" s="30"/>
    </row>
    <row r="1045" spans="1:7" ht="18.600000000000001" thickBot="1" x14ac:dyDescent="0.5">
      <c r="A1045" s="6"/>
      <c r="B1045" s="126" t="s">
        <v>16</v>
      </c>
      <c r="C1045" s="126"/>
      <c r="D1045" s="126"/>
      <c r="E1045" s="19">
        <f>H1036</f>
        <v>2507.4</v>
      </c>
      <c r="F1045" s="3"/>
    </row>
    <row r="1046" spans="1:7" ht="18.600000000000001" thickBot="1" x14ac:dyDescent="0.5">
      <c r="A1046" s="97" t="s">
        <v>17</v>
      </c>
      <c r="B1046" s="98"/>
      <c r="C1046" s="98"/>
      <c r="D1046" s="99"/>
      <c r="E1046" s="20">
        <f t="shared" ref="E1046" si="774">E1045</f>
        <v>2507.4</v>
      </c>
      <c r="F1046" s="3"/>
    </row>
    <row r="1047" spans="1:7" ht="18.600000000000001" thickBot="1" x14ac:dyDescent="0.5">
      <c r="A1047" s="96" t="s">
        <v>18</v>
      </c>
      <c r="B1047" s="96"/>
      <c r="C1047" s="96"/>
      <c r="D1047" s="96"/>
      <c r="E1047" s="14">
        <f t="shared" ref="E1047" si="775">12*H1031</f>
        <v>600</v>
      </c>
      <c r="F1047" s="3"/>
    </row>
    <row r="1048" spans="1:7" ht="18.600000000000001" thickBot="1" x14ac:dyDescent="0.5">
      <c r="A1048" s="3"/>
      <c r="B1048" s="3"/>
      <c r="C1048" s="3"/>
      <c r="D1048" s="3"/>
      <c r="E1048" s="3"/>
      <c r="F1048" s="3"/>
    </row>
    <row r="1049" spans="1:7" ht="18.600000000000001" thickBot="1" x14ac:dyDescent="0.5">
      <c r="A1049" s="12" t="s">
        <v>19</v>
      </c>
      <c r="B1049" s="12"/>
      <c r="C1049" s="12"/>
      <c r="D1049" s="12"/>
      <c r="E1049" s="15">
        <f>-((E1046-E1044)/E1047)</f>
        <v>4.6032278746666675</v>
      </c>
      <c r="F1049" s="3" t="s">
        <v>20</v>
      </c>
    </row>
    <row r="1050" spans="1:7" x14ac:dyDescent="0.45">
      <c r="A1050" s="3"/>
      <c r="B1050" s="3"/>
      <c r="C1050" s="3"/>
      <c r="D1050" s="3"/>
      <c r="E1050" s="3"/>
      <c r="F1050" s="3"/>
    </row>
    <row r="1051" spans="1:7" x14ac:dyDescent="0.45">
      <c r="A1051" s="3"/>
      <c r="B1051" s="3"/>
      <c r="D1051" s="3"/>
      <c r="E1051" s="3"/>
      <c r="F1051" s="3"/>
    </row>
  </sheetData>
  <mergeCells count="851">
    <mergeCell ref="AF1:AH1"/>
    <mergeCell ref="C12:D12"/>
    <mergeCell ref="C13:D13"/>
    <mergeCell ref="B14:D14"/>
    <mergeCell ref="A15:D15"/>
    <mergeCell ref="B16:D16"/>
    <mergeCell ref="A17:D17"/>
    <mergeCell ref="A3:D3"/>
    <mergeCell ref="A4:A14"/>
    <mergeCell ref="B4:B5"/>
    <mergeCell ref="C4:D4"/>
    <mergeCell ref="C5:D5"/>
    <mergeCell ref="B6:D6"/>
    <mergeCell ref="C8:D8"/>
    <mergeCell ref="C9:D9"/>
    <mergeCell ref="C10:D10"/>
    <mergeCell ref="B11:D11"/>
    <mergeCell ref="B32:D32"/>
    <mergeCell ref="C33:D33"/>
    <mergeCell ref="C34:D34"/>
    <mergeCell ref="B35:D35"/>
    <mergeCell ref="A36:D36"/>
    <mergeCell ref="B37:D37"/>
    <mergeCell ref="A18:D18"/>
    <mergeCell ref="A24:D24"/>
    <mergeCell ref="A25:A35"/>
    <mergeCell ref="B25:B26"/>
    <mergeCell ref="C25:D25"/>
    <mergeCell ref="C26:D26"/>
    <mergeCell ref="B27:D27"/>
    <mergeCell ref="C29:D29"/>
    <mergeCell ref="C30:D30"/>
    <mergeCell ref="C31:D31"/>
    <mergeCell ref="C52:D52"/>
    <mergeCell ref="B53:D53"/>
    <mergeCell ref="C54:D54"/>
    <mergeCell ref="C55:D55"/>
    <mergeCell ref="B56:D56"/>
    <mergeCell ref="A57:D57"/>
    <mergeCell ref="A38:D38"/>
    <mergeCell ref="A39:D39"/>
    <mergeCell ref="A45:D45"/>
    <mergeCell ref="A46:A56"/>
    <mergeCell ref="B46:B47"/>
    <mergeCell ref="C46:D46"/>
    <mergeCell ref="C47:D47"/>
    <mergeCell ref="B48:D48"/>
    <mergeCell ref="C50:D50"/>
    <mergeCell ref="C51:D51"/>
    <mergeCell ref="C72:D72"/>
    <mergeCell ref="C73:D73"/>
    <mergeCell ref="B74:D74"/>
    <mergeCell ref="C75:D75"/>
    <mergeCell ref="C76:D76"/>
    <mergeCell ref="B77:D77"/>
    <mergeCell ref="B58:D58"/>
    <mergeCell ref="A59:D59"/>
    <mergeCell ref="A60:D60"/>
    <mergeCell ref="A66:D66"/>
    <mergeCell ref="A67:A77"/>
    <mergeCell ref="B67:B68"/>
    <mergeCell ref="C67:D67"/>
    <mergeCell ref="C68:D68"/>
    <mergeCell ref="A78:D78"/>
    <mergeCell ref="B79:D79"/>
    <mergeCell ref="A80:D80"/>
    <mergeCell ref="A81:D81"/>
    <mergeCell ref="A87:D87"/>
    <mergeCell ref="A88:A98"/>
    <mergeCell ref="B88:B89"/>
    <mergeCell ref="C88:D88"/>
    <mergeCell ref="C89:D89"/>
    <mergeCell ref="B90:D90"/>
    <mergeCell ref="B98:D98"/>
    <mergeCell ref="A99:D99"/>
    <mergeCell ref="B100:D100"/>
    <mergeCell ref="A101:D101"/>
    <mergeCell ref="A102:D102"/>
    <mergeCell ref="A108:D108"/>
    <mergeCell ref="C92:D92"/>
    <mergeCell ref="C93:D93"/>
    <mergeCell ref="C94:D94"/>
    <mergeCell ref="B95:D95"/>
    <mergeCell ref="C96:D96"/>
    <mergeCell ref="C97:D97"/>
    <mergeCell ref="C118:D118"/>
    <mergeCell ref="B119:D119"/>
    <mergeCell ref="A120:D120"/>
    <mergeCell ref="B121:D121"/>
    <mergeCell ref="A122:D122"/>
    <mergeCell ref="A123:D123"/>
    <mergeCell ref="A109:A119"/>
    <mergeCell ref="B109:B110"/>
    <mergeCell ref="C109:D109"/>
    <mergeCell ref="C110:D110"/>
    <mergeCell ref="B111:D111"/>
    <mergeCell ref="C113:D113"/>
    <mergeCell ref="C114:D114"/>
    <mergeCell ref="C115:D115"/>
    <mergeCell ref="B116:D116"/>
    <mergeCell ref="C117:D117"/>
    <mergeCell ref="C138:D138"/>
    <mergeCell ref="C139:D139"/>
    <mergeCell ref="B140:D140"/>
    <mergeCell ref="A141:D141"/>
    <mergeCell ref="B142:D142"/>
    <mergeCell ref="A143:D143"/>
    <mergeCell ref="A129:D129"/>
    <mergeCell ref="A130:A140"/>
    <mergeCell ref="B130:B131"/>
    <mergeCell ref="C130:D130"/>
    <mergeCell ref="C131:D131"/>
    <mergeCell ref="B132:D132"/>
    <mergeCell ref="C134:D134"/>
    <mergeCell ref="C135:D135"/>
    <mergeCell ref="C136:D136"/>
    <mergeCell ref="B137:D137"/>
    <mergeCell ref="B158:D158"/>
    <mergeCell ref="C159:D159"/>
    <mergeCell ref="C160:D160"/>
    <mergeCell ref="B161:D161"/>
    <mergeCell ref="A162:D162"/>
    <mergeCell ref="B163:D163"/>
    <mergeCell ref="A144:D144"/>
    <mergeCell ref="A150:D150"/>
    <mergeCell ref="A151:A161"/>
    <mergeCell ref="B151:B152"/>
    <mergeCell ref="C151:D151"/>
    <mergeCell ref="C152:D152"/>
    <mergeCell ref="B153:D153"/>
    <mergeCell ref="C155:D155"/>
    <mergeCell ref="C156:D156"/>
    <mergeCell ref="C157:D157"/>
    <mergeCell ref="C178:D178"/>
    <mergeCell ref="B179:D179"/>
    <mergeCell ref="C180:D180"/>
    <mergeCell ref="C181:D181"/>
    <mergeCell ref="B182:D182"/>
    <mergeCell ref="A183:D183"/>
    <mergeCell ref="A164:D164"/>
    <mergeCell ref="A165:D165"/>
    <mergeCell ref="A171:D171"/>
    <mergeCell ref="A172:A182"/>
    <mergeCell ref="B172:B173"/>
    <mergeCell ref="C172:D172"/>
    <mergeCell ref="C173:D173"/>
    <mergeCell ref="B174:D174"/>
    <mergeCell ref="C176:D176"/>
    <mergeCell ref="C177:D177"/>
    <mergeCell ref="C198:D198"/>
    <mergeCell ref="C199:D199"/>
    <mergeCell ref="B200:D200"/>
    <mergeCell ref="C201:D201"/>
    <mergeCell ref="C202:D202"/>
    <mergeCell ref="B203:D203"/>
    <mergeCell ref="B184:D184"/>
    <mergeCell ref="A185:D185"/>
    <mergeCell ref="A186:D186"/>
    <mergeCell ref="A192:D192"/>
    <mergeCell ref="A193:A203"/>
    <mergeCell ref="B193:B194"/>
    <mergeCell ref="C193:D193"/>
    <mergeCell ref="C194:D194"/>
    <mergeCell ref="B195:D195"/>
    <mergeCell ref="C197:D197"/>
    <mergeCell ref="A204:D204"/>
    <mergeCell ref="B205:D205"/>
    <mergeCell ref="A206:D206"/>
    <mergeCell ref="A207:D207"/>
    <mergeCell ref="A213:D213"/>
    <mergeCell ref="A214:A224"/>
    <mergeCell ref="B214:B215"/>
    <mergeCell ref="C214:D214"/>
    <mergeCell ref="C215:D215"/>
    <mergeCell ref="B216:D216"/>
    <mergeCell ref="B224:D224"/>
    <mergeCell ref="A225:D225"/>
    <mergeCell ref="B226:D226"/>
    <mergeCell ref="A227:D227"/>
    <mergeCell ref="A228:D228"/>
    <mergeCell ref="A234:D234"/>
    <mergeCell ref="C218:D218"/>
    <mergeCell ref="C219:D219"/>
    <mergeCell ref="C220:D220"/>
    <mergeCell ref="B221:D221"/>
    <mergeCell ref="C222:D222"/>
    <mergeCell ref="C223:D223"/>
    <mergeCell ref="C244:D244"/>
    <mergeCell ref="B245:D245"/>
    <mergeCell ref="A246:D246"/>
    <mergeCell ref="B247:D247"/>
    <mergeCell ref="A248:D248"/>
    <mergeCell ref="A249:D249"/>
    <mergeCell ref="A235:A245"/>
    <mergeCell ref="B235:B236"/>
    <mergeCell ref="C235:D235"/>
    <mergeCell ref="C236:D236"/>
    <mergeCell ref="B237:D237"/>
    <mergeCell ref="C239:D239"/>
    <mergeCell ref="C240:D240"/>
    <mergeCell ref="C241:D241"/>
    <mergeCell ref="B242:D242"/>
    <mergeCell ref="C243:D243"/>
    <mergeCell ref="C264:D264"/>
    <mergeCell ref="C265:D265"/>
    <mergeCell ref="B266:D266"/>
    <mergeCell ref="A267:D267"/>
    <mergeCell ref="B268:D268"/>
    <mergeCell ref="A269:D269"/>
    <mergeCell ref="A255:D255"/>
    <mergeCell ref="A256:A266"/>
    <mergeCell ref="B256:B257"/>
    <mergeCell ref="C256:D256"/>
    <mergeCell ref="C257:D257"/>
    <mergeCell ref="B258:D258"/>
    <mergeCell ref="C260:D260"/>
    <mergeCell ref="C261:D261"/>
    <mergeCell ref="C262:D262"/>
    <mergeCell ref="B263:D263"/>
    <mergeCell ref="B284:D284"/>
    <mergeCell ref="C285:D285"/>
    <mergeCell ref="C286:D286"/>
    <mergeCell ref="B287:D287"/>
    <mergeCell ref="A288:D288"/>
    <mergeCell ref="B289:D289"/>
    <mergeCell ref="A270:D270"/>
    <mergeCell ref="A276:D276"/>
    <mergeCell ref="A277:A287"/>
    <mergeCell ref="B277:B278"/>
    <mergeCell ref="C277:D277"/>
    <mergeCell ref="C278:D278"/>
    <mergeCell ref="B279:D279"/>
    <mergeCell ref="C281:D281"/>
    <mergeCell ref="C282:D282"/>
    <mergeCell ref="C283:D283"/>
    <mergeCell ref="C304:D304"/>
    <mergeCell ref="B305:D305"/>
    <mergeCell ref="C306:D306"/>
    <mergeCell ref="C307:D307"/>
    <mergeCell ref="B308:D308"/>
    <mergeCell ref="A309:D309"/>
    <mergeCell ref="A290:D290"/>
    <mergeCell ref="A291:D291"/>
    <mergeCell ref="A297:D297"/>
    <mergeCell ref="A298:A308"/>
    <mergeCell ref="B298:B299"/>
    <mergeCell ref="C298:D298"/>
    <mergeCell ref="C299:D299"/>
    <mergeCell ref="B300:D300"/>
    <mergeCell ref="C302:D302"/>
    <mergeCell ref="C303:D303"/>
    <mergeCell ref="B310:D310"/>
    <mergeCell ref="A311:D311"/>
    <mergeCell ref="A312:D312"/>
    <mergeCell ref="A318:D318"/>
    <mergeCell ref="A319:A329"/>
    <mergeCell ref="B319:B320"/>
    <mergeCell ref="C319:D319"/>
    <mergeCell ref="C320:D320"/>
    <mergeCell ref="B321:D321"/>
    <mergeCell ref="C323:D323"/>
    <mergeCell ref="C324:D324"/>
    <mergeCell ref="C325:D325"/>
    <mergeCell ref="B326:D326"/>
    <mergeCell ref="C327:D327"/>
    <mergeCell ref="C328:D328"/>
    <mergeCell ref="C344:D344"/>
    <mergeCell ref="C345:D345"/>
    <mergeCell ref="C346:D346"/>
    <mergeCell ref="B347:D347"/>
    <mergeCell ref="A330:D330"/>
    <mergeCell ref="B331:D331"/>
    <mergeCell ref="A332:D332"/>
    <mergeCell ref="A333:D333"/>
    <mergeCell ref="A339:D339"/>
    <mergeCell ref="A340:A350"/>
    <mergeCell ref="B340:B341"/>
    <mergeCell ref="C340:D340"/>
    <mergeCell ref="C341:D341"/>
    <mergeCell ref="B342:D342"/>
    <mergeCell ref="C367:D367"/>
    <mergeCell ref="B368:D368"/>
    <mergeCell ref="C369:D369"/>
    <mergeCell ref="C370:D370"/>
    <mergeCell ref="B371:D371"/>
    <mergeCell ref="A372:D372"/>
    <mergeCell ref="B69:D69"/>
    <mergeCell ref="C71:D71"/>
    <mergeCell ref="A360:D360"/>
    <mergeCell ref="A361:A371"/>
    <mergeCell ref="B361:B362"/>
    <mergeCell ref="C361:D361"/>
    <mergeCell ref="C362:D362"/>
    <mergeCell ref="B363:D363"/>
    <mergeCell ref="C365:D365"/>
    <mergeCell ref="C366:D366"/>
    <mergeCell ref="B350:D350"/>
    <mergeCell ref="A351:D351"/>
    <mergeCell ref="B352:D352"/>
    <mergeCell ref="A353:D353"/>
    <mergeCell ref="A354:D354"/>
    <mergeCell ref="C348:D348"/>
    <mergeCell ref="C349:D349"/>
    <mergeCell ref="B329:D329"/>
    <mergeCell ref="C387:D387"/>
    <mergeCell ref="C388:D388"/>
    <mergeCell ref="B389:D389"/>
    <mergeCell ref="C390:D390"/>
    <mergeCell ref="C391:D391"/>
    <mergeCell ref="B392:D392"/>
    <mergeCell ref="B373:D373"/>
    <mergeCell ref="A374:D374"/>
    <mergeCell ref="A375:D375"/>
    <mergeCell ref="A381:D381"/>
    <mergeCell ref="A382:A392"/>
    <mergeCell ref="B382:B383"/>
    <mergeCell ref="C382:D382"/>
    <mergeCell ref="C383:D383"/>
    <mergeCell ref="B384:D384"/>
    <mergeCell ref="C386:D386"/>
    <mergeCell ref="A393:D393"/>
    <mergeCell ref="B394:D394"/>
    <mergeCell ref="A395:D395"/>
    <mergeCell ref="A396:D396"/>
    <mergeCell ref="A402:D402"/>
    <mergeCell ref="A403:A413"/>
    <mergeCell ref="B403:B404"/>
    <mergeCell ref="C403:D403"/>
    <mergeCell ref="C404:D404"/>
    <mergeCell ref="B405:D405"/>
    <mergeCell ref="B413:D413"/>
    <mergeCell ref="A414:D414"/>
    <mergeCell ref="B415:D415"/>
    <mergeCell ref="A416:D416"/>
    <mergeCell ref="A417:D417"/>
    <mergeCell ref="A423:D423"/>
    <mergeCell ref="C407:D407"/>
    <mergeCell ref="C408:D408"/>
    <mergeCell ref="C409:D409"/>
    <mergeCell ref="B410:D410"/>
    <mergeCell ref="C411:D411"/>
    <mergeCell ref="C412:D412"/>
    <mergeCell ref="C433:D433"/>
    <mergeCell ref="B434:D434"/>
    <mergeCell ref="A435:D435"/>
    <mergeCell ref="B436:D436"/>
    <mergeCell ref="A437:D437"/>
    <mergeCell ref="A438:D438"/>
    <mergeCell ref="A424:A434"/>
    <mergeCell ref="B424:B425"/>
    <mergeCell ref="C424:D424"/>
    <mergeCell ref="C425:D425"/>
    <mergeCell ref="B426:D426"/>
    <mergeCell ref="C428:D428"/>
    <mergeCell ref="C429:D429"/>
    <mergeCell ref="C430:D430"/>
    <mergeCell ref="B431:D431"/>
    <mergeCell ref="C432:D432"/>
    <mergeCell ref="C453:D453"/>
    <mergeCell ref="C454:D454"/>
    <mergeCell ref="B455:D455"/>
    <mergeCell ref="A456:D456"/>
    <mergeCell ref="B457:D457"/>
    <mergeCell ref="A458:D458"/>
    <mergeCell ref="A444:D444"/>
    <mergeCell ref="A445:A455"/>
    <mergeCell ref="B445:B446"/>
    <mergeCell ref="C445:D445"/>
    <mergeCell ref="C446:D446"/>
    <mergeCell ref="B447:D447"/>
    <mergeCell ref="C449:D449"/>
    <mergeCell ref="C450:D450"/>
    <mergeCell ref="C451:D451"/>
    <mergeCell ref="B452:D452"/>
    <mergeCell ref="B473:D473"/>
    <mergeCell ref="C474:D474"/>
    <mergeCell ref="C475:D475"/>
    <mergeCell ref="B476:D476"/>
    <mergeCell ref="A477:D477"/>
    <mergeCell ref="B478:D478"/>
    <mergeCell ref="A459:D459"/>
    <mergeCell ref="A465:D465"/>
    <mergeCell ref="A466:A476"/>
    <mergeCell ref="B466:B467"/>
    <mergeCell ref="C466:D466"/>
    <mergeCell ref="C467:D467"/>
    <mergeCell ref="B468:D468"/>
    <mergeCell ref="C470:D470"/>
    <mergeCell ref="C471:D471"/>
    <mergeCell ref="C472:D472"/>
    <mergeCell ref="C493:D493"/>
    <mergeCell ref="B494:D494"/>
    <mergeCell ref="C495:D495"/>
    <mergeCell ref="C496:D496"/>
    <mergeCell ref="B497:D497"/>
    <mergeCell ref="A498:D498"/>
    <mergeCell ref="A479:D479"/>
    <mergeCell ref="A480:D480"/>
    <mergeCell ref="A486:D486"/>
    <mergeCell ref="A487:A497"/>
    <mergeCell ref="B487:B488"/>
    <mergeCell ref="C487:D487"/>
    <mergeCell ref="C488:D488"/>
    <mergeCell ref="B489:D489"/>
    <mergeCell ref="C491:D491"/>
    <mergeCell ref="C492:D492"/>
    <mergeCell ref="C513:D513"/>
    <mergeCell ref="C514:D514"/>
    <mergeCell ref="B515:D515"/>
    <mergeCell ref="C516:D516"/>
    <mergeCell ref="C517:D517"/>
    <mergeCell ref="B518:D518"/>
    <mergeCell ref="B499:D499"/>
    <mergeCell ref="A500:D500"/>
    <mergeCell ref="A501:D501"/>
    <mergeCell ref="A507:D507"/>
    <mergeCell ref="A508:A518"/>
    <mergeCell ref="B508:B509"/>
    <mergeCell ref="C508:D508"/>
    <mergeCell ref="C509:D509"/>
    <mergeCell ref="B510:D510"/>
    <mergeCell ref="C512:D512"/>
    <mergeCell ref="A519:D519"/>
    <mergeCell ref="B520:D520"/>
    <mergeCell ref="A521:D521"/>
    <mergeCell ref="A522:D522"/>
    <mergeCell ref="A528:D528"/>
    <mergeCell ref="A529:A539"/>
    <mergeCell ref="B529:B530"/>
    <mergeCell ref="C529:D529"/>
    <mergeCell ref="C530:D530"/>
    <mergeCell ref="B531:D531"/>
    <mergeCell ref="B539:D539"/>
    <mergeCell ref="A540:D540"/>
    <mergeCell ref="B541:D541"/>
    <mergeCell ref="A542:D542"/>
    <mergeCell ref="A543:D543"/>
    <mergeCell ref="A549:D549"/>
    <mergeCell ref="C533:D533"/>
    <mergeCell ref="C534:D534"/>
    <mergeCell ref="C535:D535"/>
    <mergeCell ref="B536:D536"/>
    <mergeCell ref="C537:D537"/>
    <mergeCell ref="C538:D538"/>
    <mergeCell ref="C559:D559"/>
    <mergeCell ref="B560:D560"/>
    <mergeCell ref="A561:D561"/>
    <mergeCell ref="B562:D562"/>
    <mergeCell ref="A563:D563"/>
    <mergeCell ref="A564:D564"/>
    <mergeCell ref="A550:A560"/>
    <mergeCell ref="B550:B551"/>
    <mergeCell ref="C550:D550"/>
    <mergeCell ref="C551:D551"/>
    <mergeCell ref="B552:D552"/>
    <mergeCell ref="C554:D554"/>
    <mergeCell ref="C555:D555"/>
    <mergeCell ref="C556:D556"/>
    <mergeCell ref="B557:D557"/>
    <mergeCell ref="C558:D558"/>
    <mergeCell ref="C579:D579"/>
    <mergeCell ref="C580:D580"/>
    <mergeCell ref="B581:D581"/>
    <mergeCell ref="A582:D582"/>
    <mergeCell ref="B583:D583"/>
    <mergeCell ref="A584:D584"/>
    <mergeCell ref="A570:D570"/>
    <mergeCell ref="A571:A581"/>
    <mergeCell ref="B571:B572"/>
    <mergeCell ref="C571:D571"/>
    <mergeCell ref="C572:D572"/>
    <mergeCell ref="B573:D573"/>
    <mergeCell ref="C575:D575"/>
    <mergeCell ref="C576:D576"/>
    <mergeCell ref="C577:D577"/>
    <mergeCell ref="B578:D578"/>
    <mergeCell ref="B599:D599"/>
    <mergeCell ref="C600:D600"/>
    <mergeCell ref="C601:D601"/>
    <mergeCell ref="B602:D602"/>
    <mergeCell ref="A603:D603"/>
    <mergeCell ref="B604:D604"/>
    <mergeCell ref="A585:D585"/>
    <mergeCell ref="A591:D591"/>
    <mergeCell ref="A592:A602"/>
    <mergeCell ref="B592:B593"/>
    <mergeCell ref="C592:D592"/>
    <mergeCell ref="C593:D593"/>
    <mergeCell ref="B594:D594"/>
    <mergeCell ref="C596:D596"/>
    <mergeCell ref="C597:D597"/>
    <mergeCell ref="C598:D598"/>
    <mergeCell ref="C619:D619"/>
    <mergeCell ref="B620:D620"/>
    <mergeCell ref="C621:D621"/>
    <mergeCell ref="C622:D622"/>
    <mergeCell ref="B623:D623"/>
    <mergeCell ref="A624:D624"/>
    <mergeCell ref="A605:D605"/>
    <mergeCell ref="A606:D606"/>
    <mergeCell ref="A612:D612"/>
    <mergeCell ref="A613:A623"/>
    <mergeCell ref="B613:B614"/>
    <mergeCell ref="C613:D613"/>
    <mergeCell ref="C614:D614"/>
    <mergeCell ref="B615:D615"/>
    <mergeCell ref="C617:D617"/>
    <mergeCell ref="C618:D618"/>
    <mergeCell ref="C639:D639"/>
    <mergeCell ref="C640:D640"/>
    <mergeCell ref="B641:D641"/>
    <mergeCell ref="C642:D642"/>
    <mergeCell ref="C643:D643"/>
    <mergeCell ref="B644:D644"/>
    <mergeCell ref="B625:D625"/>
    <mergeCell ref="A626:D626"/>
    <mergeCell ref="A627:D627"/>
    <mergeCell ref="A633:D633"/>
    <mergeCell ref="A634:A644"/>
    <mergeCell ref="B634:B635"/>
    <mergeCell ref="C634:D634"/>
    <mergeCell ref="C635:D635"/>
    <mergeCell ref="B636:D636"/>
    <mergeCell ref="C638:D638"/>
    <mergeCell ref="A645:D645"/>
    <mergeCell ref="B646:D646"/>
    <mergeCell ref="A647:D647"/>
    <mergeCell ref="A648:D648"/>
    <mergeCell ref="A654:D654"/>
    <mergeCell ref="A655:A665"/>
    <mergeCell ref="B655:B656"/>
    <mergeCell ref="C655:D655"/>
    <mergeCell ref="C656:D656"/>
    <mergeCell ref="B657:D657"/>
    <mergeCell ref="B665:D665"/>
    <mergeCell ref="A666:D666"/>
    <mergeCell ref="B667:D667"/>
    <mergeCell ref="A668:D668"/>
    <mergeCell ref="A669:D669"/>
    <mergeCell ref="A675:D675"/>
    <mergeCell ref="C659:D659"/>
    <mergeCell ref="C660:D660"/>
    <mergeCell ref="C661:D661"/>
    <mergeCell ref="B662:D662"/>
    <mergeCell ref="C663:D663"/>
    <mergeCell ref="C664:D664"/>
    <mergeCell ref="C685:D685"/>
    <mergeCell ref="B686:D686"/>
    <mergeCell ref="A687:D687"/>
    <mergeCell ref="B688:D688"/>
    <mergeCell ref="A689:D689"/>
    <mergeCell ref="A690:D690"/>
    <mergeCell ref="A676:A686"/>
    <mergeCell ref="B676:B677"/>
    <mergeCell ref="C676:D676"/>
    <mergeCell ref="C677:D677"/>
    <mergeCell ref="B678:D678"/>
    <mergeCell ref="C680:D680"/>
    <mergeCell ref="C681:D681"/>
    <mergeCell ref="C682:D682"/>
    <mergeCell ref="B683:D683"/>
    <mergeCell ref="C684:D684"/>
    <mergeCell ref="C705:D705"/>
    <mergeCell ref="C706:D706"/>
    <mergeCell ref="B707:D707"/>
    <mergeCell ref="A708:D708"/>
    <mergeCell ref="B709:D709"/>
    <mergeCell ref="A710:D710"/>
    <mergeCell ref="A696:D696"/>
    <mergeCell ref="A697:A707"/>
    <mergeCell ref="B697:B698"/>
    <mergeCell ref="C697:D697"/>
    <mergeCell ref="C698:D698"/>
    <mergeCell ref="B699:D699"/>
    <mergeCell ref="C701:D701"/>
    <mergeCell ref="C702:D702"/>
    <mergeCell ref="C703:D703"/>
    <mergeCell ref="B704:D704"/>
    <mergeCell ref="B725:D725"/>
    <mergeCell ref="C726:D726"/>
    <mergeCell ref="C727:D727"/>
    <mergeCell ref="B728:D728"/>
    <mergeCell ref="A729:D729"/>
    <mergeCell ref="B730:D730"/>
    <mergeCell ref="A711:D711"/>
    <mergeCell ref="A717:D717"/>
    <mergeCell ref="A718:A728"/>
    <mergeCell ref="B718:B719"/>
    <mergeCell ref="C718:D718"/>
    <mergeCell ref="C719:D719"/>
    <mergeCell ref="B720:D720"/>
    <mergeCell ref="C722:D722"/>
    <mergeCell ref="C723:D723"/>
    <mergeCell ref="C724:D724"/>
    <mergeCell ref="C745:D745"/>
    <mergeCell ref="B746:D746"/>
    <mergeCell ref="C747:D747"/>
    <mergeCell ref="C748:D748"/>
    <mergeCell ref="B749:D749"/>
    <mergeCell ref="A750:D750"/>
    <mergeCell ref="A731:D731"/>
    <mergeCell ref="A732:D732"/>
    <mergeCell ref="A738:D738"/>
    <mergeCell ref="A739:A749"/>
    <mergeCell ref="B739:B740"/>
    <mergeCell ref="C739:D739"/>
    <mergeCell ref="C740:D740"/>
    <mergeCell ref="B741:D741"/>
    <mergeCell ref="C743:D743"/>
    <mergeCell ref="C744:D744"/>
    <mergeCell ref="C765:D765"/>
    <mergeCell ref="C766:D766"/>
    <mergeCell ref="B767:D767"/>
    <mergeCell ref="C768:D768"/>
    <mergeCell ref="C769:D769"/>
    <mergeCell ref="B770:D770"/>
    <mergeCell ref="B751:D751"/>
    <mergeCell ref="A752:D752"/>
    <mergeCell ref="A753:D753"/>
    <mergeCell ref="A759:D759"/>
    <mergeCell ref="A760:A770"/>
    <mergeCell ref="B760:B761"/>
    <mergeCell ref="C760:D760"/>
    <mergeCell ref="C761:D761"/>
    <mergeCell ref="B762:D762"/>
    <mergeCell ref="C764:D764"/>
    <mergeCell ref="A771:D771"/>
    <mergeCell ref="B772:D772"/>
    <mergeCell ref="A773:D773"/>
    <mergeCell ref="A774:D774"/>
    <mergeCell ref="A780:D780"/>
    <mergeCell ref="A781:A791"/>
    <mergeCell ref="B781:B782"/>
    <mergeCell ref="C781:D781"/>
    <mergeCell ref="C782:D782"/>
    <mergeCell ref="B783:D783"/>
    <mergeCell ref="B791:D791"/>
    <mergeCell ref="A792:D792"/>
    <mergeCell ref="B793:D793"/>
    <mergeCell ref="A794:D794"/>
    <mergeCell ref="A795:D795"/>
    <mergeCell ref="A801:D801"/>
    <mergeCell ref="C785:D785"/>
    <mergeCell ref="C786:D786"/>
    <mergeCell ref="C787:D787"/>
    <mergeCell ref="B788:D788"/>
    <mergeCell ref="C789:D789"/>
    <mergeCell ref="C790:D790"/>
    <mergeCell ref="C811:D811"/>
    <mergeCell ref="B812:D812"/>
    <mergeCell ref="A813:D813"/>
    <mergeCell ref="B814:D814"/>
    <mergeCell ref="A815:D815"/>
    <mergeCell ref="A816:D816"/>
    <mergeCell ref="A802:A812"/>
    <mergeCell ref="B802:B803"/>
    <mergeCell ref="C802:D802"/>
    <mergeCell ref="C803:D803"/>
    <mergeCell ref="B804:D804"/>
    <mergeCell ref="C806:D806"/>
    <mergeCell ref="C807:D807"/>
    <mergeCell ref="C808:D808"/>
    <mergeCell ref="B809:D809"/>
    <mergeCell ref="C810:D810"/>
    <mergeCell ref="C831:D831"/>
    <mergeCell ref="C832:D832"/>
    <mergeCell ref="B833:D833"/>
    <mergeCell ref="A834:D834"/>
    <mergeCell ref="B835:D835"/>
    <mergeCell ref="A836:D836"/>
    <mergeCell ref="A822:D822"/>
    <mergeCell ref="A823:A833"/>
    <mergeCell ref="B823:B824"/>
    <mergeCell ref="C823:D823"/>
    <mergeCell ref="C824:D824"/>
    <mergeCell ref="B825:D825"/>
    <mergeCell ref="C827:D827"/>
    <mergeCell ref="C828:D828"/>
    <mergeCell ref="C829:D829"/>
    <mergeCell ref="B830:D830"/>
    <mergeCell ref="B851:D851"/>
    <mergeCell ref="C852:D852"/>
    <mergeCell ref="C853:D853"/>
    <mergeCell ref="B854:D854"/>
    <mergeCell ref="A855:D855"/>
    <mergeCell ref="B856:D856"/>
    <mergeCell ref="A837:D837"/>
    <mergeCell ref="A843:D843"/>
    <mergeCell ref="A844:A854"/>
    <mergeCell ref="B844:B845"/>
    <mergeCell ref="C844:D844"/>
    <mergeCell ref="C845:D845"/>
    <mergeCell ref="B846:D846"/>
    <mergeCell ref="C848:D848"/>
    <mergeCell ref="C849:D849"/>
    <mergeCell ref="C850:D850"/>
    <mergeCell ref="C871:D871"/>
    <mergeCell ref="B872:D872"/>
    <mergeCell ref="C873:D873"/>
    <mergeCell ref="C874:D874"/>
    <mergeCell ref="B875:D875"/>
    <mergeCell ref="A876:D876"/>
    <mergeCell ref="A857:D857"/>
    <mergeCell ref="A858:D858"/>
    <mergeCell ref="A864:D864"/>
    <mergeCell ref="A865:A875"/>
    <mergeCell ref="B865:B866"/>
    <mergeCell ref="C865:D865"/>
    <mergeCell ref="C866:D866"/>
    <mergeCell ref="B867:D867"/>
    <mergeCell ref="C869:D869"/>
    <mergeCell ref="C870:D870"/>
    <mergeCell ref="C891:D891"/>
    <mergeCell ref="C892:D892"/>
    <mergeCell ref="B893:D893"/>
    <mergeCell ref="C894:D894"/>
    <mergeCell ref="C895:D895"/>
    <mergeCell ref="B896:D896"/>
    <mergeCell ref="B877:D877"/>
    <mergeCell ref="A878:D878"/>
    <mergeCell ref="A879:D879"/>
    <mergeCell ref="A885:D885"/>
    <mergeCell ref="A886:A896"/>
    <mergeCell ref="B886:B887"/>
    <mergeCell ref="C886:D886"/>
    <mergeCell ref="C887:D887"/>
    <mergeCell ref="B888:D888"/>
    <mergeCell ref="C890:D890"/>
    <mergeCell ref="A897:D897"/>
    <mergeCell ref="B898:D898"/>
    <mergeCell ref="A899:D899"/>
    <mergeCell ref="A900:D900"/>
    <mergeCell ref="A906:D906"/>
    <mergeCell ref="A907:A917"/>
    <mergeCell ref="B907:B908"/>
    <mergeCell ref="C907:D907"/>
    <mergeCell ref="C908:D908"/>
    <mergeCell ref="B909:D909"/>
    <mergeCell ref="B917:D917"/>
    <mergeCell ref="A918:D918"/>
    <mergeCell ref="B919:D919"/>
    <mergeCell ref="A920:D920"/>
    <mergeCell ref="A921:D921"/>
    <mergeCell ref="A927:D927"/>
    <mergeCell ref="C911:D911"/>
    <mergeCell ref="C912:D912"/>
    <mergeCell ref="C913:D913"/>
    <mergeCell ref="B914:D914"/>
    <mergeCell ref="C915:D915"/>
    <mergeCell ref="C916:D916"/>
    <mergeCell ref="C937:D937"/>
    <mergeCell ref="B938:D938"/>
    <mergeCell ref="A939:D939"/>
    <mergeCell ref="B940:D940"/>
    <mergeCell ref="A941:D941"/>
    <mergeCell ref="A942:D942"/>
    <mergeCell ref="A928:A938"/>
    <mergeCell ref="B928:B929"/>
    <mergeCell ref="C928:D928"/>
    <mergeCell ref="C929:D929"/>
    <mergeCell ref="B930:D930"/>
    <mergeCell ref="C932:D932"/>
    <mergeCell ref="C933:D933"/>
    <mergeCell ref="C934:D934"/>
    <mergeCell ref="B935:D935"/>
    <mergeCell ref="C936:D936"/>
    <mergeCell ref="C957:D957"/>
    <mergeCell ref="C958:D958"/>
    <mergeCell ref="B959:D959"/>
    <mergeCell ref="A960:D960"/>
    <mergeCell ref="B961:D961"/>
    <mergeCell ref="A962:D962"/>
    <mergeCell ref="A948:D948"/>
    <mergeCell ref="A949:A959"/>
    <mergeCell ref="B949:B950"/>
    <mergeCell ref="C949:D949"/>
    <mergeCell ref="C950:D950"/>
    <mergeCell ref="B951:D951"/>
    <mergeCell ref="C953:D953"/>
    <mergeCell ref="C954:D954"/>
    <mergeCell ref="C955:D955"/>
    <mergeCell ref="B956:D956"/>
    <mergeCell ref="B977:D977"/>
    <mergeCell ref="C978:D978"/>
    <mergeCell ref="C979:D979"/>
    <mergeCell ref="B980:D980"/>
    <mergeCell ref="A981:D981"/>
    <mergeCell ref="B982:D982"/>
    <mergeCell ref="A963:D963"/>
    <mergeCell ref="A969:D969"/>
    <mergeCell ref="A970:A980"/>
    <mergeCell ref="B970:B971"/>
    <mergeCell ref="C970:D970"/>
    <mergeCell ref="C971:D971"/>
    <mergeCell ref="B972:D972"/>
    <mergeCell ref="C974:D974"/>
    <mergeCell ref="C975:D975"/>
    <mergeCell ref="C976:D976"/>
    <mergeCell ref="C997:D997"/>
    <mergeCell ref="B998:D998"/>
    <mergeCell ref="C999:D999"/>
    <mergeCell ref="C1000:D1000"/>
    <mergeCell ref="B1001:D1001"/>
    <mergeCell ref="A1002:D1002"/>
    <mergeCell ref="A983:D983"/>
    <mergeCell ref="A984:D984"/>
    <mergeCell ref="A990:D990"/>
    <mergeCell ref="A991:A1001"/>
    <mergeCell ref="B991:B992"/>
    <mergeCell ref="C991:D991"/>
    <mergeCell ref="C992:D992"/>
    <mergeCell ref="B993:D993"/>
    <mergeCell ref="C995:D995"/>
    <mergeCell ref="C996:D996"/>
    <mergeCell ref="C1017:D1017"/>
    <mergeCell ref="C1018:D1018"/>
    <mergeCell ref="B1019:D1019"/>
    <mergeCell ref="C1020:D1020"/>
    <mergeCell ref="C1021:D1021"/>
    <mergeCell ref="B1022:D1022"/>
    <mergeCell ref="B1003:D1003"/>
    <mergeCell ref="A1004:D1004"/>
    <mergeCell ref="A1005:D1005"/>
    <mergeCell ref="A1011:D1011"/>
    <mergeCell ref="A1012:A1022"/>
    <mergeCell ref="B1012:B1013"/>
    <mergeCell ref="C1012:D1012"/>
    <mergeCell ref="C1013:D1013"/>
    <mergeCell ref="B1014:D1014"/>
    <mergeCell ref="C1016:D1016"/>
    <mergeCell ref="A1023:D1023"/>
    <mergeCell ref="B1024:D1024"/>
    <mergeCell ref="A1025:D1025"/>
    <mergeCell ref="A1026:D1026"/>
    <mergeCell ref="A1032:D1032"/>
    <mergeCell ref="A1033:A1043"/>
    <mergeCell ref="B1033:B1034"/>
    <mergeCell ref="C1033:D1033"/>
    <mergeCell ref="C1034:D1034"/>
    <mergeCell ref="B1035:D1035"/>
    <mergeCell ref="B1043:D1043"/>
    <mergeCell ref="A1044:D1044"/>
    <mergeCell ref="B1045:D1045"/>
    <mergeCell ref="A1046:D1046"/>
    <mergeCell ref="A1047:D1047"/>
    <mergeCell ref="C1037:D1037"/>
    <mergeCell ref="C1038:D1038"/>
    <mergeCell ref="C1039:D1039"/>
    <mergeCell ref="B1040:D1040"/>
    <mergeCell ref="C1041:D1041"/>
    <mergeCell ref="C1042:D104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8B0E9-0FD0-4A90-8A8B-6F60B695C2D7}">
  <dimension ref="A1:AH1051"/>
  <sheetViews>
    <sheetView workbookViewId="0"/>
  </sheetViews>
  <sheetFormatPr defaultRowHeight="18" x14ac:dyDescent="0.45"/>
  <cols>
    <col min="1" max="2" width="1.59765625" customWidth="1"/>
    <col min="3" max="5" width="10.59765625" customWidth="1"/>
    <col min="7" max="7" width="22" customWidth="1"/>
    <col min="8" max="8" width="13.3984375" customWidth="1"/>
    <col min="10" max="10" width="10.5" bestFit="1" customWidth="1"/>
    <col min="11" max="11" width="13.09765625" customWidth="1"/>
    <col min="12" max="12" width="11.3984375" customWidth="1"/>
    <col min="13" max="13" width="12.09765625" customWidth="1"/>
    <col min="15" max="15" width="12.69921875" customWidth="1"/>
    <col min="16" max="16" width="5.69921875" customWidth="1"/>
    <col min="17" max="18" width="12.3984375" customWidth="1"/>
    <col min="19" max="19" width="13" customWidth="1"/>
    <col min="20" max="20" width="12.69921875" customWidth="1"/>
    <col min="21" max="21" width="16.69921875" customWidth="1"/>
    <col min="22" max="22" width="5.09765625" customWidth="1"/>
    <col min="23" max="23" width="10.59765625" customWidth="1"/>
    <col min="24" max="24" width="13.09765625" customWidth="1"/>
    <col min="26" max="26" width="11.3984375" customWidth="1"/>
    <col min="27" max="27" width="1.59765625" customWidth="1"/>
    <col min="28" max="28" width="1.69921875" customWidth="1"/>
    <col min="33" max="33" width="9.3984375" bestFit="1" customWidth="1"/>
  </cols>
  <sheetData>
    <row r="1" spans="1:34" ht="18.600000000000001" thickBot="1" x14ac:dyDescent="0.5">
      <c r="A1" s="3"/>
      <c r="B1" s="3"/>
      <c r="C1" s="3"/>
      <c r="D1" s="3"/>
      <c r="E1" s="3"/>
      <c r="F1" s="3"/>
      <c r="Q1" s="21" t="s">
        <v>492</v>
      </c>
      <c r="AC1" t="s">
        <v>686</v>
      </c>
      <c r="AF1" s="134" t="s">
        <v>689</v>
      </c>
      <c r="AG1" s="134"/>
      <c r="AH1" s="134"/>
    </row>
    <row r="2" spans="1:34" ht="18.600000000000001" thickBot="1" x14ac:dyDescent="0.5">
      <c r="A2" s="10" t="s">
        <v>4</v>
      </c>
      <c r="B2" s="3"/>
      <c r="C2" s="3"/>
      <c r="D2" s="3"/>
      <c r="E2" s="4" t="s">
        <v>1</v>
      </c>
      <c r="F2" s="4"/>
      <c r="G2" s="38" t="s">
        <v>508</v>
      </c>
      <c r="H2" s="42">
        <v>1</v>
      </c>
      <c r="I2" t="s">
        <v>509</v>
      </c>
      <c r="J2" s="1" t="s">
        <v>22</v>
      </c>
      <c r="K2" s="22" t="s">
        <v>43</v>
      </c>
      <c r="L2" s="1" t="s">
        <v>23</v>
      </c>
      <c r="M2" s="1" t="s">
        <v>24</v>
      </c>
      <c r="N2" s="1" t="s">
        <v>25</v>
      </c>
      <c r="O2" s="1" t="s">
        <v>26</v>
      </c>
      <c r="Q2" s="1" t="s">
        <v>40</v>
      </c>
      <c r="R2" s="1" t="s">
        <v>41</v>
      </c>
      <c r="S2" s="1" t="s">
        <v>9</v>
      </c>
      <c r="T2" s="1" t="s">
        <v>42</v>
      </c>
      <c r="U2" s="1" t="s">
        <v>562</v>
      </c>
      <c r="W2" s="1" t="s">
        <v>40</v>
      </c>
      <c r="X2" s="1" t="s">
        <v>4</v>
      </c>
      <c r="Z2" s="1" t="s">
        <v>572</v>
      </c>
      <c r="AC2" s="1" t="s">
        <v>40</v>
      </c>
      <c r="AD2" s="1" t="s">
        <v>687</v>
      </c>
      <c r="AF2" s="1" t="s">
        <v>40</v>
      </c>
      <c r="AG2" s="1" t="s">
        <v>16</v>
      </c>
      <c r="AH2" s="1" t="s">
        <v>688</v>
      </c>
    </row>
    <row r="3" spans="1:34" ht="18.600000000000001" thickBot="1" x14ac:dyDescent="0.5">
      <c r="A3" s="84" t="s">
        <v>5</v>
      </c>
      <c r="B3" s="84"/>
      <c r="C3" s="84"/>
      <c r="D3" s="84"/>
      <c r="E3" s="45" t="s">
        <v>0</v>
      </c>
      <c r="F3" s="3"/>
      <c r="G3" s="36" t="s">
        <v>464</v>
      </c>
      <c r="H3" s="37">
        <f>真実の家賃!I4</f>
        <v>3980</v>
      </c>
      <c r="I3" t="s">
        <v>465</v>
      </c>
      <c r="J3">
        <v>1</v>
      </c>
      <c r="K3" s="24" t="s">
        <v>44</v>
      </c>
      <c r="L3" s="23">
        <f>M3+N3</f>
        <v>116320.23809523811</v>
      </c>
      <c r="M3" s="23">
        <f>($H$3*10000)/($H$5*12)</f>
        <v>94761.904761904763</v>
      </c>
      <c r="N3" s="23">
        <f>(($H$3*10000)*($H$4/100)/12)</f>
        <v>21558.333333333336</v>
      </c>
      <c r="O3" s="23">
        <f>H3*10000-M3</f>
        <v>39705238.095238097</v>
      </c>
      <c r="Q3" s="2" t="s">
        <v>27</v>
      </c>
      <c r="R3" s="13">
        <f>IF(O14&lt;=0,0,O14)</f>
        <v>38662857.142857164</v>
      </c>
      <c r="S3" s="16">
        <f>R3*0.007</f>
        <v>270640.00000000017</v>
      </c>
      <c r="T3" s="16">
        <f>S3</f>
        <v>270640.00000000017</v>
      </c>
      <c r="U3" s="16">
        <f>IF(O3&lt;=0,0,(SUM(L3:L14)))</f>
        <v>1392455.1190476194</v>
      </c>
      <c r="W3" s="2" t="s">
        <v>510</v>
      </c>
      <c r="X3" s="17">
        <f>計算用2!E20</f>
        <v>37.605602182539847</v>
      </c>
      <c r="Z3">
        <f>_xlfn.IFS(真実の家賃!I3&lt;=10,0,真実の家賃!I3&gt;=10,(真実の家賃!I3-10)*12)</f>
        <v>0</v>
      </c>
      <c r="AC3" s="2" t="s">
        <v>27</v>
      </c>
      <c r="AD3" s="77">
        <v>1</v>
      </c>
      <c r="AF3" s="2" t="s">
        <v>27</v>
      </c>
      <c r="AG3" s="23">
        <f>H7</f>
        <v>3980</v>
      </c>
      <c r="AH3" s="23">
        <f>H7*AD3*0.05</f>
        <v>199</v>
      </c>
    </row>
    <row r="4" spans="1:34" ht="18.600000000000001" thickBot="1" x14ac:dyDescent="0.5">
      <c r="A4" s="85"/>
      <c r="B4" s="87"/>
      <c r="C4" s="89" t="s">
        <v>3</v>
      </c>
      <c r="D4" s="90"/>
      <c r="E4" s="47">
        <f>IF(H6="",0,H6)</f>
        <v>0</v>
      </c>
      <c r="F4" s="3"/>
      <c r="G4" s="25" t="s">
        <v>466</v>
      </c>
      <c r="H4" s="43">
        <f>真実の家賃!I5</f>
        <v>0.65</v>
      </c>
      <c r="I4" t="s">
        <v>469</v>
      </c>
      <c r="J4">
        <v>2</v>
      </c>
      <c r="K4" s="24" t="s">
        <v>45</v>
      </c>
      <c r="L4" s="23">
        <f>IF(O3&lt;=0,0,(M4+N4))</f>
        <v>116268.90873015873</v>
      </c>
      <c r="M4" s="23">
        <f>IF(O3&lt;=0,0,(($H$3*10000)/($H$5*12)))</f>
        <v>94761.904761904763</v>
      </c>
      <c r="N4" s="23">
        <f>IF(O3&lt;=0,0,(O3*($H$4/100)/12))</f>
        <v>21507.003968253972</v>
      </c>
      <c r="O4" s="23">
        <f>IF(O3&lt;=0,0,(O3-M4))</f>
        <v>39610476.190476194</v>
      </c>
      <c r="Q4" s="2" t="s">
        <v>28</v>
      </c>
      <c r="R4" s="13">
        <f>IF(O26&lt;=0,0,O26)</f>
        <v>37525714.285714328</v>
      </c>
      <c r="S4" s="16">
        <f t="shared" ref="S4:S14" si="0">R4*0.007</f>
        <v>262680.00000000029</v>
      </c>
      <c r="T4" s="16">
        <f>S3+S4</f>
        <v>533320.00000000047</v>
      </c>
      <c r="U4" s="16">
        <f>IF(O3&lt;=0,0,(SUM(L3:L26)))</f>
        <v>2777518.8095238097</v>
      </c>
      <c r="W4" s="2" t="s">
        <v>511</v>
      </c>
      <c r="X4" s="17">
        <f>計算用2!E41</f>
        <v>23.567415674603353</v>
      </c>
      <c r="AC4" s="2" t="s">
        <v>28</v>
      </c>
      <c r="AD4" s="77">
        <f>AD3-($AD$3-$AD$12)/9</f>
        <v>0.97333333333333338</v>
      </c>
      <c r="AF4" s="2" t="s">
        <v>28</v>
      </c>
      <c r="AG4" s="23">
        <f>H28</f>
        <v>3873.8666666666668</v>
      </c>
      <c r="AH4" s="23">
        <f>H28*AD4*0.05</f>
        <v>188.52817777777781</v>
      </c>
    </row>
    <row r="5" spans="1:34" ht="18.600000000000001" thickBot="1" x14ac:dyDescent="0.5">
      <c r="A5" s="86"/>
      <c r="B5" s="88"/>
      <c r="C5" s="89" t="s">
        <v>6</v>
      </c>
      <c r="D5" s="90"/>
      <c r="E5" s="19">
        <f>IF(H9="",$H$7*0.06,H9)</f>
        <v>238.79999999999998</v>
      </c>
      <c r="F5" s="3"/>
      <c r="G5" s="25" t="s">
        <v>467</v>
      </c>
      <c r="H5" s="37">
        <f>真実の家賃!I6</f>
        <v>35</v>
      </c>
      <c r="I5" t="s">
        <v>468</v>
      </c>
      <c r="J5">
        <v>3</v>
      </c>
      <c r="K5" s="24" t="s">
        <v>46</v>
      </c>
      <c r="L5" s="23">
        <f>IF(O4&lt;=0,0,(M5+N5))</f>
        <v>116217.57936507938</v>
      </c>
      <c r="M5" s="23">
        <f>IF(O4&lt;=0,0,(($H$3*10000)/($H$5*12)))</f>
        <v>94761.904761904763</v>
      </c>
      <c r="N5" s="23">
        <f>IF(O4&lt;=0,0,(O4*($H$4/100)/12))</f>
        <v>21455.674603174608</v>
      </c>
      <c r="O5" s="23">
        <f>IF(O4&lt;=0,0,(O4-M5))</f>
        <v>39515714.285714291</v>
      </c>
      <c r="Q5" s="2" t="s">
        <v>29</v>
      </c>
      <c r="R5" s="13">
        <f>IF(O38&lt;=0,0,O38)</f>
        <v>36388571.428571492</v>
      </c>
      <c r="S5" s="16">
        <f t="shared" si="0"/>
        <v>254720.00000000047</v>
      </c>
      <c r="T5" s="16">
        <f>S3+S4+S5</f>
        <v>788040.00000000093</v>
      </c>
      <c r="U5" s="16">
        <f>IF(O3&lt;=0,0,(SUM(L3:L38)))</f>
        <v>4155191.0714285718</v>
      </c>
      <c r="W5" s="2" t="s">
        <v>512</v>
      </c>
      <c r="X5" s="17">
        <f>計算用2!E62</f>
        <v>18.889599537037206</v>
      </c>
      <c r="Z5" s="57"/>
      <c r="AC5" s="2" t="s">
        <v>29</v>
      </c>
      <c r="AD5" s="77">
        <f>AD4-($AD$3-$AD$12)/9</f>
        <v>0.94666666666666677</v>
      </c>
      <c r="AF5" s="2" t="s">
        <v>29</v>
      </c>
      <c r="AG5" s="23">
        <f>H49</f>
        <v>3767.7333333333336</v>
      </c>
      <c r="AH5" s="23">
        <f>H49*AD5*0.05</f>
        <v>178.33937777777783</v>
      </c>
    </row>
    <row r="6" spans="1:34" ht="18.600000000000001" thickBot="1" x14ac:dyDescent="0.5">
      <c r="A6" s="86"/>
      <c r="B6" s="91" t="s">
        <v>7</v>
      </c>
      <c r="C6" s="92"/>
      <c r="D6" s="92"/>
      <c r="E6" s="49">
        <f>SUM(E4:E5)</f>
        <v>238.79999999999998</v>
      </c>
      <c r="F6" s="3"/>
      <c r="G6" s="28" t="s">
        <v>3</v>
      </c>
      <c r="H6" s="37">
        <f>真実の家賃!I7</f>
        <v>0</v>
      </c>
      <c r="I6" t="s">
        <v>465</v>
      </c>
      <c r="J6">
        <v>4</v>
      </c>
      <c r="K6" s="24" t="s">
        <v>47</v>
      </c>
      <c r="L6" s="23">
        <f t="shared" ref="L6:L69" si="1">IF(O5&lt;=0,0,(M6+N6))</f>
        <v>116166.25</v>
      </c>
      <c r="M6" s="23">
        <f t="shared" ref="M6:M69" si="2">IF(O5&lt;=0,0,(($H$3*10000)/($H$5*12)))</f>
        <v>94761.904761904763</v>
      </c>
      <c r="N6" s="23">
        <f>IF(O5&lt;=0,0,(O5*($H$4/100)/12))</f>
        <v>21404.345238095244</v>
      </c>
      <c r="O6" s="23">
        <f t="shared" ref="O6:O69" si="3">IF(O5&lt;=0,0,(O5-M6))</f>
        <v>39420952.380952388</v>
      </c>
      <c r="Q6" s="2" t="s">
        <v>30</v>
      </c>
      <c r="R6" s="13">
        <f>IF(O50&lt;=0,0,O50)</f>
        <v>35251428.571428657</v>
      </c>
      <c r="S6" s="16">
        <f t="shared" si="0"/>
        <v>246760.00000000061</v>
      </c>
      <c r="T6" s="16">
        <f>S3+S4+S5+S6</f>
        <v>1034800.0000000015</v>
      </c>
      <c r="U6" s="16">
        <f>IF(O3&lt;=0,0,(SUM(L3:L50)))</f>
        <v>5525471.9047619058</v>
      </c>
      <c r="W6" s="2" t="s">
        <v>513</v>
      </c>
      <c r="X6" s="17">
        <f>計算用2!E83</f>
        <v>16.551875992063657</v>
      </c>
      <c r="Z6" s="57"/>
      <c r="AC6" s="2" t="s">
        <v>30</v>
      </c>
      <c r="AD6" s="77">
        <f>AD5-($AD$3-$AD$12)/9</f>
        <v>0.92000000000000015</v>
      </c>
      <c r="AF6" s="2" t="s">
        <v>30</v>
      </c>
      <c r="AG6" s="23">
        <f>H70</f>
        <v>3661.6000000000008</v>
      </c>
      <c r="AH6" s="23">
        <f>H70*AD6*0.05</f>
        <v>168.43360000000007</v>
      </c>
    </row>
    <row r="7" spans="1:34" ht="18.600000000000001" thickBot="1" x14ac:dyDescent="0.5">
      <c r="A7" s="86"/>
      <c r="B7" s="7"/>
      <c r="C7" s="9" t="s">
        <v>8</v>
      </c>
      <c r="D7" s="9"/>
      <c r="E7" s="49">
        <f>_xlfn.SWITCH(H2,1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139.24551190476194</v>
      </c>
      <c r="F7" s="3"/>
      <c r="G7" s="28" t="s">
        <v>16</v>
      </c>
      <c r="H7" s="37">
        <f>_xlfn.IFS(H2&gt;=30,真実の家賃!$I$8*真実の家賃!$I$11/100,H2&gt;=20,真実の家賃!$I$8*真実の家賃!$I$10/100,H2&gt;=10,真実の家賃!$I$8*真実の家賃!$I$9/100,H2&gt;=1,真実の家賃!$I$8)</f>
        <v>3980</v>
      </c>
      <c r="I7" t="s">
        <v>465</v>
      </c>
      <c r="J7">
        <v>5</v>
      </c>
      <c r="K7" s="24" t="s">
        <v>48</v>
      </c>
      <c r="L7" s="23">
        <f t="shared" si="1"/>
        <v>116114.92063492064</v>
      </c>
      <c r="M7" s="23">
        <f t="shared" si="2"/>
        <v>94761.904761904763</v>
      </c>
      <c r="N7" s="23">
        <f t="shared" ref="N7:N70" si="4">IF(O6&lt;=0,0,(O6*($H$4/100)/12))</f>
        <v>21353.015873015876</v>
      </c>
      <c r="O7" s="23">
        <f t="shared" si="3"/>
        <v>39326190.476190485</v>
      </c>
      <c r="Q7" s="2" t="s">
        <v>31</v>
      </c>
      <c r="R7" s="13">
        <f>IF(O62&lt;=0,0,O62)</f>
        <v>34114285.714285821</v>
      </c>
      <c r="S7" s="16">
        <f t="shared" si="0"/>
        <v>238800.00000000076</v>
      </c>
      <c r="T7" s="16">
        <f>S3+S4+S5+S6+S7</f>
        <v>1273600.0000000023</v>
      </c>
      <c r="U7" s="16">
        <f>IF(O3&lt;=0,0,(SUM(L3:L62)))</f>
        <v>6888361.3095238106</v>
      </c>
      <c r="W7" s="2" t="s">
        <v>514</v>
      </c>
      <c r="X7" s="17">
        <f>計算用2!E104</f>
        <v>15.150189484127145</v>
      </c>
      <c r="Z7" s="57"/>
      <c r="AC7" s="2" t="s">
        <v>31</v>
      </c>
      <c r="AD7" s="77">
        <f t="shared" ref="AD7:AD10" si="5">AD6-($AD$3-$AD$12)/9</f>
        <v>0.89333333333333353</v>
      </c>
      <c r="AF7" s="2" t="s">
        <v>31</v>
      </c>
      <c r="AG7" s="23">
        <f>H91</f>
        <v>3555.4666666666676</v>
      </c>
      <c r="AH7" s="23">
        <f>H91*AD7*0.05</f>
        <v>158.81084444444454</v>
      </c>
    </row>
    <row r="8" spans="1:34" ht="18.600000000000001" thickBot="1" x14ac:dyDescent="0.5">
      <c r="A8" s="86"/>
      <c r="B8" s="8"/>
      <c r="C8" s="89" t="s">
        <v>2</v>
      </c>
      <c r="D8" s="90"/>
      <c r="E8" s="49">
        <f>IF(H10="",H2*15,H9)</f>
        <v>15</v>
      </c>
      <c r="F8" s="3"/>
      <c r="G8" s="56" t="s">
        <v>573</v>
      </c>
      <c r="H8" s="40" t="str">
        <f>IF(真実の家賃!I12="","",真実の家賃!I12)</f>
        <v/>
      </c>
      <c r="I8" t="s">
        <v>465</v>
      </c>
      <c r="J8">
        <v>6</v>
      </c>
      <c r="K8" s="24" t="s">
        <v>49</v>
      </c>
      <c r="L8" s="23">
        <f t="shared" si="1"/>
        <v>116063.59126984127</v>
      </c>
      <c r="M8" s="23">
        <f t="shared" si="2"/>
        <v>94761.904761904763</v>
      </c>
      <c r="N8" s="23">
        <f t="shared" si="4"/>
        <v>21301.686507936512</v>
      </c>
      <c r="O8" s="23">
        <f t="shared" si="3"/>
        <v>39231428.571428582</v>
      </c>
      <c r="Q8" s="2" t="s">
        <v>32</v>
      </c>
      <c r="R8" s="13">
        <f>IF(O74&lt;=0,0,O74)</f>
        <v>32977142.857142985</v>
      </c>
      <c r="S8" s="16">
        <f t="shared" si="0"/>
        <v>230840.0000000009</v>
      </c>
      <c r="T8" s="16">
        <f>S3+S4+S5+S6+S7+S8</f>
        <v>1504440.0000000033</v>
      </c>
      <c r="U8" s="16">
        <f>IF(O3&lt;=0,0,(SUM(L3:L74)))</f>
        <v>8243859.2857142873</v>
      </c>
      <c r="W8" s="2" t="s">
        <v>515</v>
      </c>
      <c r="X8" s="17">
        <f>計算用2!E125</f>
        <v>14.216521494709159</v>
      </c>
      <c r="Z8" s="57"/>
      <c r="AC8" s="2" t="s">
        <v>32</v>
      </c>
      <c r="AD8" s="77">
        <f t="shared" si="5"/>
        <v>0.86666666666666692</v>
      </c>
      <c r="AF8" s="2" t="s">
        <v>32</v>
      </c>
      <c r="AG8" s="23">
        <f>H112</f>
        <v>3449.3333333333344</v>
      </c>
      <c r="AH8" s="23">
        <f>H112*AD8*0.05</f>
        <v>149.47111111111118</v>
      </c>
    </row>
    <row r="9" spans="1:34" ht="18.600000000000001" thickBot="1" x14ac:dyDescent="0.5">
      <c r="A9" s="86"/>
      <c r="B9" s="8"/>
      <c r="C9" s="93" t="s">
        <v>9</v>
      </c>
      <c r="D9" s="93"/>
      <c r="E9" s="49">
        <f>_xlfn.SWITCH(H2,1,-T3/10000,2,-T4/10000,3,-T5/10000,4,-T6/10000,5,-T7/10000,6,-T8/10000,7,-T9/10000,8,-T10/10000,9,-T11/10000,10,-T12/10000,11,-T13/10000,12,-T14/10000,13,-T15/10000,14,-T16/10000,15,-T17/10000,16,-T18/10000,17,-T19/10000,18,-T20/10000,19,-T21/10000,20,-T22/10000,21,-T23/10000,22,-T24/10000,23,-T25/10000,24,-T26/10000,25,-T27/10000,26,-T28/10000,27,-T29/10000,28,-T30/10000,29,-T31/10000,30,-T32/10000,31,-T33/10000,32,-T34/10000,33,-T35/10000,34,-T36/10000,35,-T37/10000,36,-T38/10000,37,-T39/10000,38,-T40/10000,39,-T41/10000,40,-T42/10000,41,-T43/10000,42,-T44/10000,43,-T45/10000,44,-T46/10000,45,-T47/10000,46,-T48/10000,47,-T49/10000,48,-T50/10000,49,-T51/10000,50,-T52/10000,"該当なし")</f>
        <v>-27.064000000000018</v>
      </c>
      <c r="F9" s="3"/>
      <c r="G9" s="34" t="s">
        <v>6</v>
      </c>
      <c r="H9" s="40" t="str">
        <f>IF(真実の家賃!I13="","",真実の家賃!I13)</f>
        <v/>
      </c>
      <c r="I9" t="s">
        <v>465</v>
      </c>
      <c r="J9">
        <v>7</v>
      </c>
      <c r="K9" s="24" t="s">
        <v>50</v>
      </c>
      <c r="L9" s="23">
        <f t="shared" si="1"/>
        <v>116012.26190476191</v>
      </c>
      <c r="M9" s="23">
        <f t="shared" si="2"/>
        <v>94761.904761904763</v>
      </c>
      <c r="N9" s="23">
        <f t="shared" si="4"/>
        <v>21250.357142857149</v>
      </c>
      <c r="O9" s="23">
        <f t="shared" si="3"/>
        <v>39136666.666666679</v>
      </c>
      <c r="Q9" s="2" t="s">
        <v>33</v>
      </c>
      <c r="R9" s="13">
        <f>IF(O86&lt;=0,0,O86)</f>
        <v>31840000.000000149</v>
      </c>
      <c r="S9" s="16">
        <f t="shared" si="0"/>
        <v>222880.00000000105</v>
      </c>
      <c r="T9" s="16">
        <f>S3+S4+S5+S6+S7+S8+S9</f>
        <v>1727320.0000000042</v>
      </c>
      <c r="U9" s="16">
        <f>IF(O3&lt;=0,0,(SUM(L3:L86)))</f>
        <v>9591965.8333333358</v>
      </c>
      <c r="W9" s="2" t="s">
        <v>516</v>
      </c>
      <c r="X9" s="17">
        <f>計算用2!E146</f>
        <v>13.550292658730319</v>
      </c>
      <c r="Z9" s="57"/>
      <c r="AC9" s="2" t="s">
        <v>33</v>
      </c>
      <c r="AD9" s="77">
        <f>AD8-($AD$3-$AD$12)/9</f>
        <v>0.8400000000000003</v>
      </c>
      <c r="AF9" s="2" t="s">
        <v>33</v>
      </c>
      <c r="AG9" s="23">
        <f>H133</f>
        <v>3343.2000000000012</v>
      </c>
      <c r="AH9" s="23">
        <f>H133*AD9*0.05</f>
        <v>140.41440000000009</v>
      </c>
    </row>
    <row r="10" spans="1:34" ht="18.600000000000001" thickBot="1" x14ac:dyDescent="0.5">
      <c r="A10" s="86"/>
      <c r="B10" s="8"/>
      <c r="C10" s="94" t="s">
        <v>10</v>
      </c>
      <c r="D10" s="95"/>
      <c r="E10" s="49">
        <f>IF(H8="",$Z$3,H2*H8)</f>
        <v>0</v>
      </c>
      <c r="F10" s="3"/>
      <c r="G10" s="28" t="s">
        <v>560</v>
      </c>
      <c r="H10" s="40" t="str">
        <f>IF(真実の家賃!I14="","",真実の家賃!I14)</f>
        <v/>
      </c>
      <c r="I10" t="s">
        <v>465</v>
      </c>
      <c r="J10">
        <v>8</v>
      </c>
      <c r="K10" s="24" t="s">
        <v>51</v>
      </c>
      <c r="L10" s="23">
        <f t="shared" si="1"/>
        <v>115960.93253968254</v>
      </c>
      <c r="M10" s="23">
        <f t="shared" si="2"/>
        <v>94761.904761904763</v>
      </c>
      <c r="N10" s="23">
        <f t="shared" si="4"/>
        <v>21199.027777777785</v>
      </c>
      <c r="O10" s="23">
        <f t="shared" si="3"/>
        <v>39041904.761904776</v>
      </c>
      <c r="Q10" s="2" t="s">
        <v>34</v>
      </c>
      <c r="R10" s="13">
        <f>IF(O98&lt;=0,0,O98)</f>
        <v>30702857.142857313</v>
      </c>
      <c r="S10" s="16">
        <f>R10*0.007</f>
        <v>214920.00000000119</v>
      </c>
      <c r="T10" s="16">
        <f>S3+S4+S5+S6+S7+S8+S9+S10</f>
        <v>1942240.0000000054</v>
      </c>
      <c r="U10" s="16">
        <f>IF(O3&lt;=0,0,(SUM(L3:L98)))</f>
        <v>10932680.952380955</v>
      </c>
      <c r="W10" s="2" t="s">
        <v>517</v>
      </c>
      <c r="X10" s="17">
        <f>計算用2!E167</f>
        <v>13.051213293650955</v>
      </c>
      <c r="Z10" s="57"/>
      <c r="AC10" s="2" t="s">
        <v>34</v>
      </c>
      <c r="AD10" s="77">
        <f t="shared" si="5"/>
        <v>0.81333333333333369</v>
      </c>
      <c r="AF10" s="2" t="s">
        <v>34</v>
      </c>
      <c r="AG10" s="23">
        <f>H154</f>
        <v>3237.066666666668</v>
      </c>
      <c r="AH10" s="23">
        <f>H154*AD10*0.05</f>
        <v>131.64071111111124</v>
      </c>
    </row>
    <row r="11" spans="1:34" ht="18.600000000000001" thickBot="1" x14ac:dyDescent="0.5">
      <c r="A11" s="86"/>
      <c r="B11" s="91" t="s">
        <v>11</v>
      </c>
      <c r="C11" s="92"/>
      <c r="D11" s="92"/>
      <c r="E11" s="49">
        <f>SUM(E7:E10)</f>
        <v>127.18151190476192</v>
      </c>
      <c r="F11" s="3"/>
      <c r="G11" s="33" t="s">
        <v>561</v>
      </c>
      <c r="H11" s="41" t="str">
        <f>IF(真実の家賃!I15="","",真実の家賃!I15)</f>
        <v/>
      </c>
      <c r="I11" t="s">
        <v>465</v>
      </c>
      <c r="J11">
        <v>9</v>
      </c>
      <c r="K11" s="24" t="s">
        <v>52</v>
      </c>
      <c r="L11" s="23">
        <f t="shared" si="1"/>
        <v>115909.60317460318</v>
      </c>
      <c r="M11" s="23">
        <f t="shared" si="2"/>
        <v>94761.904761904763</v>
      </c>
      <c r="N11" s="23">
        <f t="shared" si="4"/>
        <v>21147.698412698421</v>
      </c>
      <c r="O11" s="23">
        <f t="shared" si="3"/>
        <v>38947142.857142873</v>
      </c>
      <c r="Q11" s="2" t="s">
        <v>35</v>
      </c>
      <c r="R11" s="13">
        <f>IF(O110&lt;=0,0,O110)</f>
        <v>29565714.285714477</v>
      </c>
      <c r="S11" s="16">
        <f t="shared" si="0"/>
        <v>206960.00000000134</v>
      </c>
      <c r="T11" s="16">
        <f>S3+S4+S5+S6+S7+S8+S9+S10+S11</f>
        <v>2149200.0000000065</v>
      </c>
      <c r="U11" s="16">
        <f>IF(O3&lt;=0,0,(SUM(L3:L110)))</f>
        <v>12266004.642857147</v>
      </c>
      <c r="W11" s="2" t="s">
        <v>518</v>
      </c>
      <c r="X11" s="17">
        <f>計算用2!E188</f>
        <v>12.663566909171234</v>
      </c>
      <c r="Z11" s="57"/>
      <c r="AC11" s="2" t="s">
        <v>35</v>
      </c>
      <c r="AD11" s="77">
        <f>AD10-($AD$3-$AD$12)/9</f>
        <v>0.78666666666666707</v>
      </c>
      <c r="AF11" s="2" t="s">
        <v>35</v>
      </c>
      <c r="AG11" s="23">
        <f>H175</f>
        <v>3130.9333333333348</v>
      </c>
      <c r="AH11" s="23">
        <f>H175*AD11*0.05</f>
        <v>123.15004444444457</v>
      </c>
    </row>
    <row r="12" spans="1:34" ht="18.600000000000001" thickBot="1" x14ac:dyDescent="0.5">
      <c r="A12" s="86"/>
      <c r="B12" s="7"/>
      <c r="C12" s="89" t="s">
        <v>12</v>
      </c>
      <c r="D12" s="90"/>
      <c r="E12" s="49">
        <f>_xlfn.SWITCH(H2,1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3866.2857142857165</v>
      </c>
      <c r="F12" s="3"/>
      <c r="G12" s="30"/>
      <c r="J12">
        <v>10</v>
      </c>
      <c r="K12" s="24" t="s">
        <v>53</v>
      </c>
      <c r="L12" s="23">
        <f t="shared" si="1"/>
        <v>115858.27380952382</v>
      </c>
      <c r="M12" s="23">
        <f t="shared" si="2"/>
        <v>94761.904761904763</v>
      </c>
      <c r="N12" s="23">
        <f t="shared" si="4"/>
        <v>21096.369047619057</v>
      </c>
      <c r="O12" s="23">
        <f t="shared" si="3"/>
        <v>38852380.95238097</v>
      </c>
      <c r="Q12" s="2" t="s">
        <v>36</v>
      </c>
      <c r="R12" s="13">
        <f>IF(O122&lt;=0,0,O122)</f>
        <v>28428571.428571641</v>
      </c>
      <c r="S12" s="16">
        <f t="shared" si="0"/>
        <v>199000.00000000148</v>
      </c>
      <c r="T12" s="16">
        <f>S3+S4+S5+S6+S7+S8+S9+S10+S11+S12</f>
        <v>2348200.0000000079</v>
      </c>
      <c r="U12" s="16">
        <f>IF(O3&lt;=0,0,(SUM(L3:L122)))</f>
        <v>13591936.90476191</v>
      </c>
      <c r="W12" s="2" t="s">
        <v>519</v>
      </c>
      <c r="X12" s="17">
        <f>計算用2!E209</f>
        <v>12.353923611111281</v>
      </c>
      <c r="Z12" s="57"/>
      <c r="AC12" s="2" t="s">
        <v>36</v>
      </c>
      <c r="AD12" s="77">
        <f>真実の家賃!I9/100</f>
        <v>0.76</v>
      </c>
      <c r="AF12" s="2" t="s">
        <v>36</v>
      </c>
      <c r="AG12" s="23">
        <f>H196</f>
        <v>3024.8</v>
      </c>
      <c r="AH12" s="23">
        <f>H196*AD12*0.05</f>
        <v>114.94240000000001</v>
      </c>
    </row>
    <row r="13" spans="1:34" ht="18.600000000000001" thickBot="1" x14ac:dyDescent="0.5">
      <c r="A13" s="86"/>
      <c r="B13" s="8"/>
      <c r="C13" s="89" t="s">
        <v>13</v>
      </c>
      <c r="D13" s="90"/>
      <c r="E13" s="49">
        <f>IF(H11="",H7*0.05,H11)</f>
        <v>199</v>
      </c>
      <c r="F13" s="3"/>
      <c r="G13" s="30"/>
      <c r="J13">
        <v>11</v>
      </c>
      <c r="K13" s="24" t="s">
        <v>54</v>
      </c>
      <c r="L13" s="23">
        <f t="shared" si="1"/>
        <v>115806.94444444445</v>
      </c>
      <c r="M13" s="23">
        <f t="shared" si="2"/>
        <v>94761.904761904763</v>
      </c>
      <c r="N13" s="23">
        <f t="shared" si="4"/>
        <v>21045.039682539693</v>
      </c>
      <c r="O13" s="23">
        <f t="shared" si="3"/>
        <v>38757619.047619067</v>
      </c>
      <c r="Q13" s="2" t="s">
        <v>37</v>
      </c>
      <c r="R13" s="13">
        <f>IF(O134&lt;=0,0,O134)</f>
        <v>27291428.571428806</v>
      </c>
      <c r="S13" s="16">
        <f t="shared" si="0"/>
        <v>191040.00000000163</v>
      </c>
      <c r="T13" s="16">
        <f>S3+S4+S5+S6+S7+S8+S9+S10+S11+S12+S13</f>
        <v>2539240.0000000093</v>
      </c>
      <c r="U13" s="16">
        <f>IF(O3&lt;=0,0,(SUM(L3:L134)))</f>
        <v>14910477.738095246</v>
      </c>
      <c r="W13" s="2" t="s">
        <v>520</v>
      </c>
      <c r="X13" s="17">
        <f>計算用2!E230</f>
        <v>11.750917237854916</v>
      </c>
      <c r="Z13" s="57"/>
      <c r="AC13" s="2" t="s">
        <v>37</v>
      </c>
      <c r="AD13" s="77">
        <f>AD12-($AD$12-$AD$22)/9</f>
        <v>0.74555555555555553</v>
      </c>
      <c r="AF13" s="2" t="s">
        <v>37</v>
      </c>
      <c r="AG13" s="23">
        <f>H217</f>
        <v>2967.3111111111111</v>
      </c>
      <c r="AH13" s="23">
        <f>H217*AD13*0.05</f>
        <v>110.61476419753087</v>
      </c>
    </row>
    <row r="14" spans="1:34" ht="18.600000000000001" thickBot="1" x14ac:dyDescent="0.5">
      <c r="A14" s="86"/>
      <c r="B14" s="91" t="s">
        <v>14</v>
      </c>
      <c r="C14" s="92"/>
      <c r="D14" s="92"/>
      <c r="E14" s="49">
        <f>SUM(E12:E13)</f>
        <v>4065.2857142857165</v>
      </c>
      <c r="F14" s="3"/>
      <c r="G14" s="30"/>
      <c r="J14">
        <v>12</v>
      </c>
      <c r="K14" s="24" t="s">
        <v>55</v>
      </c>
      <c r="L14" s="23">
        <f>IF(O13&lt;=0,0,(M14+N14))</f>
        <v>115755.61507936509</v>
      </c>
      <c r="M14" s="23">
        <f t="shared" si="2"/>
        <v>94761.904761904763</v>
      </c>
      <c r="N14" s="23">
        <f t="shared" si="4"/>
        <v>20993.710317460329</v>
      </c>
      <c r="O14" s="23">
        <f>IF(O13&lt;=0,0,(O13-M14))</f>
        <v>38662857.142857164</v>
      </c>
      <c r="Q14" s="2" t="s">
        <v>38</v>
      </c>
      <c r="R14" s="13">
        <f>IF(O146&lt;=0,0,O146)</f>
        <v>26154285.71428597</v>
      </c>
      <c r="S14" s="16">
        <f t="shared" si="0"/>
        <v>183080.0000000018</v>
      </c>
      <c r="T14" s="16">
        <f>S3+S4+S5+S6+S7+S8+S9+S10+S11+S12+S13+S14</f>
        <v>2722320.0000000112</v>
      </c>
      <c r="U14" s="16">
        <f>IF(O3&lt;=0,0,(SUM(L3:L146)))</f>
        <v>16221627.142857153</v>
      </c>
      <c r="W14" s="2" t="s">
        <v>521</v>
      </c>
      <c r="X14" s="17">
        <f>計算用2!E251</f>
        <v>11.248806768077777</v>
      </c>
      <c r="Z14" s="57"/>
      <c r="AC14" s="2" t="s">
        <v>38</v>
      </c>
      <c r="AD14" s="77">
        <f>AD13-($AD$12-$AD$22)/9</f>
        <v>0.73111111111111104</v>
      </c>
      <c r="AF14" s="2" t="s">
        <v>38</v>
      </c>
      <c r="AG14" s="23">
        <f>H238</f>
        <v>2909.8222222222221</v>
      </c>
      <c r="AH14" s="23">
        <f>H238*AD14*0.05</f>
        <v>106.37016790123455</v>
      </c>
    </row>
    <row r="15" spans="1:34" ht="18.600000000000001" thickBot="1" x14ac:dyDescent="0.5">
      <c r="A15" s="97" t="s">
        <v>15</v>
      </c>
      <c r="B15" s="98"/>
      <c r="C15" s="98"/>
      <c r="D15" s="99"/>
      <c r="E15" s="20">
        <f>E6+E11+E14</f>
        <v>4431.2672261904781</v>
      </c>
      <c r="F15" s="3"/>
      <c r="J15">
        <v>13</v>
      </c>
      <c r="K15" s="24" t="s">
        <v>56</v>
      </c>
      <c r="L15" s="23">
        <f t="shared" si="1"/>
        <v>115704.28571428572</v>
      </c>
      <c r="M15" s="23">
        <f t="shared" si="2"/>
        <v>94761.904761904763</v>
      </c>
      <c r="N15" s="23">
        <f t="shared" si="4"/>
        <v>20942.380952380965</v>
      </c>
      <c r="O15" s="23">
        <f t="shared" si="3"/>
        <v>38568095.238095261</v>
      </c>
      <c r="Q15" s="2" t="s">
        <v>39</v>
      </c>
      <c r="R15" s="13">
        <f>IF(O158&lt;=0,0,O158)</f>
        <v>25017142.857143134</v>
      </c>
      <c r="S15" s="16">
        <f>R15*0.007</f>
        <v>175120.00000000195</v>
      </c>
      <c r="T15" s="16">
        <f>S3+S4+S5+S6+S7+S8+S9+S10+S11+S12+S13+S14+S15</f>
        <v>2897440.000000013</v>
      </c>
      <c r="U15" s="16">
        <f>IF(O3&lt;=0,0,(SUM(L3:L158)))</f>
        <v>17525385.119047631</v>
      </c>
      <c r="W15" s="2" t="s">
        <v>522</v>
      </c>
      <c r="X15" s="17">
        <f>計算用2!E272</f>
        <v>10.824308531746214</v>
      </c>
      <c r="Z15" s="57"/>
      <c r="AC15" s="2" t="s">
        <v>39</v>
      </c>
      <c r="AD15" s="77">
        <f t="shared" ref="AD15:AD21" si="6">AD14-($AD$12-$AD$22)/9</f>
        <v>0.71666666666666656</v>
      </c>
      <c r="AF15" s="2" t="s">
        <v>39</v>
      </c>
      <c r="AG15" s="23">
        <f>H259</f>
        <v>2852.333333333333</v>
      </c>
      <c r="AH15" s="23">
        <f>H259*AD15*0.05</f>
        <v>102.2086111111111</v>
      </c>
    </row>
    <row r="16" spans="1:34" ht="18.600000000000001" thickBot="1" x14ac:dyDescent="0.5">
      <c r="A16" s="6"/>
      <c r="B16" s="92" t="s">
        <v>16</v>
      </c>
      <c r="C16" s="92"/>
      <c r="D16" s="92"/>
      <c r="E16" s="49">
        <f>H7</f>
        <v>3980</v>
      </c>
      <c r="F16" s="3"/>
      <c r="J16">
        <v>14</v>
      </c>
      <c r="K16" s="24" t="s">
        <v>57</v>
      </c>
      <c r="L16" s="23">
        <f t="shared" si="1"/>
        <v>115652.95634920636</v>
      </c>
      <c r="M16" s="23">
        <f t="shared" si="2"/>
        <v>94761.904761904763</v>
      </c>
      <c r="N16" s="23">
        <f t="shared" si="4"/>
        <v>20891.051587301601</v>
      </c>
      <c r="O16" s="23">
        <f t="shared" si="3"/>
        <v>38473333.333333358</v>
      </c>
      <c r="Q16" s="2" t="s">
        <v>470</v>
      </c>
      <c r="R16" s="13">
        <f>IF(O170&lt;=0,0,O170)</f>
        <v>23880000.000000298</v>
      </c>
      <c r="S16" s="16">
        <f>$S$15</f>
        <v>175120.00000000195</v>
      </c>
      <c r="T16" s="16">
        <f>$T$15</f>
        <v>2897440.000000013</v>
      </c>
      <c r="U16" s="16">
        <f>IF(O3&lt;=0,0,(SUM(L3:L170)))</f>
        <v>18821751.666666679</v>
      </c>
      <c r="W16" s="2" t="s">
        <v>523</v>
      </c>
      <c r="X16" s="17">
        <f>計算用2!E293</f>
        <v>10.560291335979016</v>
      </c>
      <c r="Z16" s="57"/>
      <c r="AC16" s="2" t="s">
        <v>470</v>
      </c>
      <c r="AD16" s="77">
        <f t="shared" si="6"/>
        <v>0.70222222222222208</v>
      </c>
      <c r="AF16" s="2" t="s">
        <v>470</v>
      </c>
      <c r="AG16" s="23">
        <f>H280</f>
        <v>2794.844444444444</v>
      </c>
      <c r="AH16" s="23">
        <f>H280*AD16*0.05</f>
        <v>98.130093827160465</v>
      </c>
    </row>
    <row r="17" spans="1:34" ht="18.600000000000001" thickBot="1" x14ac:dyDescent="0.5">
      <c r="A17" s="97" t="s">
        <v>17</v>
      </c>
      <c r="B17" s="98"/>
      <c r="C17" s="98"/>
      <c r="D17" s="99"/>
      <c r="E17" s="20">
        <f>E16</f>
        <v>3980</v>
      </c>
      <c r="F17" s="3"/>
      <c r="J17">
        <v>15</v>
      </c>
      <c r="K17" s="24" t="s">
        <v>58</v>
      </c>
      <c r="L17" s="23">
        <f t="shared" si="1"/>
        <v>115601.626984127</v>
      </c>
      <c r="M17" s="23">
        <f t="shared" si="2"/>
        <v>94761.904761904763</v>
      </c>
      <c r="N17" s="23">
        <f t="shared" si="4"/>
        <v>20839.722222222237</v>
      </c>
      <c r="O17" s="23">
        <f t="shared" si="3"/>
        <v>38378571.428571455</v>
      </c>
      <c r="P17" s="13"/>
      <c r="Q17" s="2" t="s">
        <v>471</v>
      </c>
      <c r="R17" s="13">
        <f>IF(O182&lt;=0,0,O182)</f>
        <v>22742857.142857462</v>
      </c>
      <c r="S17" s="16">
        <f>$S$15</f>
        <v>175120.00000000195</v>
      </c>
      <c r="T17" s="16">
        <f t="shared" ref="T17:T52" si="7">$T$15</f>
        <v>2897440.000000013</v>
      </c>
      <c r="U17" s="16">
        <f>IF(O3&lt;=0,0,(SUM(L3:L182)))</f>
        <v>20110726.785714302</v>
      </c>
      <c r="W17" s="2" t="s">
        <v>524</v>
      </c>
      <c r="X17" s="17">
        <f>計算用2!E314</f>
        <v>10.327370083774435</v>
      </c>
      <c r="Z17" s="57"/>
      <c r="AC17" s="2" t="s">
        <v>471</v>
      </c>
      <c r="AD17" s="77">
        <f t="shared" si="6"/>
        <v>0.6877777777777776</v>
      </c>
      <c r="AF17" s="2" t="s">
        <v>471</v>
      </c>
      <c r="AG17" s="23">
        <f>H301</f>
        <v>2737.3555555555549</v>
      </c>
      <c r="AH17" s="23">
        <f>H301*AD17*0.05</f>
        <v>94.134616049382672</v>
      </c>
    </row>
    <row r="18" spans="1:34" ht="18.600000000000001" thickBot="1" x14ac:dyDescent="0.5">
      <c r="A18" s="96" t="s">
        <v>18</v>
      </c>
      <c r="B18" s="96"/>
      <c r="C18" s="96"/>
      <c r="D18" s="96"/>
      <c r="E18" s="14">
        <f>12*H2</f>
        <v>12</v>
      </c>
      <c r="F18" s="3"/>
      <c r="J18">
        <v>16</v>
      </c>
      <c r="K18" s="24" t="s">
        <v>59</v>
      </c>
      <c r="L18" s="23">
        <f t="shared" si="1"/>
        <v>115550.29761904763</v>
      </c>
      <c r="M18" s="23">
        <f t="shared" si="2"/>
        <v>94761.904761904763</v>
      </c>
      <c r="N18" s="23">
        <f t="shared" si="4"/>
        <v>20788.392857142873</v>
      </c>
      <c r="O18" s="23">
        <f t="shared" si="3"/>
        <v>38283809.523809552</v>
      </c>
      <c r="P18" s="23"/>
      <c r="Q18" s="2" t="s">
        <v>472</v>
      </c>
      <c r="R18" s="13">
        <f>IF(O194&lt;=0,0,O194)</f>
        <v>21605714.285714626</v>
      </c>
      <c r="S18" s="16">
        <f t="shared" ref="S18:S52" si="8">$S$15</f>
        <v>175120.00000000195</v>
      </c>
      <c r="T18" s="16">
        <f t="shared" si="7"/>
        <v>2897440.000000013</v>
      </c>
      <c r="U18" s="16">
        <f>IF(O3&lt;=0,0,(SUM(L3:L194)))</f>
        <v>21392310.476190493</v>
      </c>
      <c r="W18" s="2" t="s">
        <v>525</v>
      </c>
      <c r="X18" s="17">
        <f>計算用2!E335</f>
        <v>10.119714285714471</v>
      </c>
      <c r="Z18" s="57"/>
      <c r="AC18" s="2" t="s">
        <v>472</v>
      </c>
      <c r="AD18" s="77">
        <f t="shared" si="6"/>
        <v>0.67333333333333312</v>
      </c>
      <c r="AF18" s="2" t="s">
        <v>472</v>
      </c>
      <c r="AG18" s="23">
        <f>H322</f>
        <v>2679.8666666666659</v>
      </c>
      <c r="AH18" s="23">
        <f>H322*AD18*0.05</f>
        <v>90.222177777777731</v>
      </c>
    </row>
    <row r="19" spans="1:34" ht="18.600000000000001" thickBot="1" x14ac:dyDescent="0.5">
      <c r="A19" s="3"/>
      <c r="B19" s="3"/>
      <c r="C19" s="3"/>
      <c r="D19" s="3"/>
      <c r="E19" s="3"/>
      <c r="F19" s="3"/>
      <c r="J19">
        <v>17</v>
      </c>
      <c r="K19" s="24" t="s">
        <v>60</v>
      </c>
      <c r="L19" s="23">
        <f t="shared" si="1"/>
        <v>115498.96825396827</v>
      </c>
      <c r="M19" s="23">
        <f t="shared" si="2"/>
        <v>94761.904761904763</v>
      </c>
      <c r="N19" s="23">
        <f t="shared" si="4"/>
        <v>20737.063492063509</v>
      </c>
      <c r="O19" s="23">
        <f t="shared" si="3"/>
        <v>38189047.619047649</v>
      </c>
      <c r="P19" s="23"/>
      <c r="Q19" s="2" t="s">
        <v>473</v>
      </c>
      <c r="R19" s="13">
        <f>IF(O206&lt;=0,0,O206)</f>
        <v>20468571.42857179</v>
      </c>
      <c r="S19" s="16">
        <f t="shared" si="8"/>
        <v>175120.00000000195</v>
      </c>
      <c r="T19" s="16">
        <f t="shared" si="7"/>
        <v>2897440.000000013</v>
      </c>
      <c r="U19" s="16">
        <f>IF(O3&lt;=0,0,(SUM(L3:L206)))</f>
        <v>22666502.738095257</v>
      </c>
      <c r="W19" s="2" t="s">
        <v>526</v>
      </c>
      <c r="X19" s="17">
        <f>計算用2!E356</f>
        <v>9.9328653322441944</v>
      </c>
      <c r="Z19" s="57"/>
      <c r="AC19" s="2" t="s">
        <v>473</v>
      </c>
      <c r="AD19" s="77">
        <f t="shared" si="6"/>
        <v>0.65888888888888864</v>
      </c>
      <c r="AF19" s="2" t="s">
        <v>473</v>
      </c>
      <c r="AG19" s="23">
        <f>H343</f>
        <v>2622.3777777777768</v>
      </c>
      <c r="AH19" s="23">
        <f>H343*AD19*0.05</f>
        <v>86.392779012345613</v>
      </c>
    </row>
    <row r="20" spans="1:34" ht="18.600000000000001" thickBot="1" x14ac:dyDescent="0.5">
      <c r="A20" s="12" t="s">
        <v>19</v>
      </c>
      <c r="B20" s="12"/>
      <c r="C20" s="12"/>
      <c r="D20" s="12"/>
      <c r="E20" s="15">
        <f>-((E17-E15)/E18)</f>
        <v>37.605602182539847</v>
      </c>
      <c r="F20" s="3" t="s">
        <v>20</v>
      </c>
      <c r="J20">
        <v>18</v>
      </c>
      <c r="K20" s="24" t="s">
        <v>61</v>
      </c>
      <c r="L20" s="23">
        <f t="shared" si="1"/>
        <v>115447.63888888891</v>
      </c>
      <c r="M20" s="23">
        <f t="shared" si="2"/>
        <v>94761.904761904763</v>
      </c>
      <c r="N20" s="23">
        <f t="shared" si="4"/>
        <v>20685.734126984145</v>
      </c>
      <c r="O20" s="23">
        <f t="shared" si="3"/>
        <v>38094285.714285746</v>
      </c>
      <c r="P20" s="23"/>
      <c r="Q20" s="2" t="s">
        <v>474</v>
      </c>
      <c r="R20" s="13">
        <f>IF(O218&lt;=0,0,O218)</f>
        <v>19331428.571428955</v>
      </c>
      <c r="S20" s="16">
        <f t="shared" si="8"/>
        <v>175120.00000000195</v>
      </c>
      <c r="T20" s="16">
        <f t="shared" si="7"/>
        <v>2897440.000000013</v>
      </c>
      <c r="U20" s="16">
        <f>IF(O3&lt;=0,0,(SUM(L3:L218)))</f>
        <v>23933303.571428593</v>
      </c>
      <c r="W20" s="2" t="s">
        <v>527</v>
      </c>
      <c r="X20" s="17">
        <f>計算用2!E377</f>
        <v>9.7633554159319953</v>
      </c>
      <c r="Z20" s="57"/>
      <c r="AC20" s="2" t="s">
        <v>474</v>
      </c>
      <c r="AD20" s="77">
        <f t="shared" si="6"/>
        <v>0.64444444444444415</v>
      </c>
      <c r="AF20" s="2" t="s">
        <v>474</v>
      </c>
      <c r="AG20" s="23">
        <f>H364</f>
        <v>2564.8888888888878</v>
      </c>
      <c r="AH20" s="23">
        <f>H364*AD20*0.05</f>
        <v>82.646419753086349</v>
      </c>
    </row>
    <row r="21" spans="1:34" x14ac:dyDescent="0.45">
      <c r="A21" s="3"/>
      <c r="B21" s="3"/>
      <c r="C21" s="3"/>
      <c r="D21" s="3"/>
      <c r="E21" s="3"/>
      <c r="F21" s="3"/>
      <c r="J21">
        <v>19</v>
      </c>
      <c r="K21" s="24" t="s">
        <v>62</v>
      </c>
      <c r="L21" s="23">
        <f t="shared" si="1"/>
        <v>115396.30952380954</v>
      </c>
      <c r="M21" s="23">
        <f t="shared" si="2"/>
        <v>94761.904761904763</v>
      </c>
      <c r="N21" s="23">
        <f t="shared" si="4"/>
        <v>20634.404761904781</v>
      </c>
      <c r="O21" s="23">
        <f t="shared" si="3"/>
        <v>37999523.809523843</v>
      </c>
      <c r="P21" s="23"/>
      <c r="Q21" s="2" t="s">
        <v>475</v>
      </c>
      <c r="R21" s="13">
        <f>IF(O230&lt;=0,0,O230)</f>
        <v>18194285.714286119</v>
      </c>
      <c r="S21" s="16">
        <f t="shared" si="8"/>
        <v>175120.00000000195</v>
      </c>
      <c r="T21" s="16">
        <f t="shared" si="7"/>
        <v>2897440.000000013</v>
      </c>
      <c r="U21" s="16">
        <f>IF(O3&lt;=0,0,(SUM(L3:L230)))</f>
        <v>25192712.9761905</v>
      </c>
      <c r="W21" s="2" t="s">
        <v>528</v>
      </c>
      <c r="X21" s="17">
        <f>計算用2!E398</f>
        <v>9.6084467940686924</v>
      </c>
      <c r="Z21" s="57"/>
      <c r="AC21" s="2" t="s">
        <v>475</v>
      </c>
      <c r="AD21" s="77">
        <f t="shared" si="6"/>
        <v>0.62999999999999967</v>
      </c>
      <c r="AF21" s="2" t="s">
        <v>475</v>
      </c>
      <c r="AG21" s="23">
        <f>H385</f>
        <v>2507.3999999999987</v>
      </c>
      <c r="AH21" s="23">
        <f>H385*AD21*0.05</f>
        <v>78.983099999999922</v>
      </c>
    </row>
    <row r="22" spans="1:34" ht="18.600000000000001" thickBot="1" x14ac:dyDescent="0.5">
      <c r="A22" s="3"/>
      <c r="B22" s="3"/>
      <c r="D22" s="3"/>
      <c r="E22" s="3"/>
      <c r="F22" s="3"/>
      <c r="J22">
        <v>20</v>
      </c>
      <c r="K22" s="24" t="s">
        <v>63</v>
      </c>
      <c r="L22" s="23">
        <f t="shared" si="1"/>
        <v>115344.98015873018</v>
      </c>
      <c r="M22" s="23">
        <f t="shared" si="2"/>
        <v>94761.904761904763</v>
      </c>
      <c r="N22" s="23">
        <f t="shared" si="4"/>
        <v>20583.075396825418</v>
      </c>
      <c r="O22" s="23">
        <f t="shared" si="3"/>
        <v>37904761.90476194</v>
      </c>
      <c r="P22" s="23"/>
      <c r="Q22" s="2" t="s">
        <v>476</v>
      </c>
      <c r="R22" s="13">
        <f>IF(O242&lt;=0,0,O242)</f>
        <v>17057142.857143283</v>
      </c>
      <c r="S22" s="16">
        <f t="shared" si="8"/>
        <v>175120.00000000195</v>
      </c>
      <c r="T22" s="16">
        <f t="shared" si="7"/>
        <v>2897440.000000013</v>
      </c>
      <c r="U22" s="16">
        <f>IF(O3&lt;=0,0,(SUM(L3:L242)))</f>
        <v>26444730.952380978</v>
      </c>
      <c r="W22" s="2" t="s">
        <v>529</v>
      </c>
      <c r="X22" s="17">
        <f>計算用2!E419</f>
        <v>9.2383890873017727</v>
      </c>
      <c r="Z22" s="57"/>
      <c r="AC22" s="2" t="s">
        <v>476</v>
      </c>
      <c r="AD22" s="77">
        <f>真実の家賃!I10/100</f>
        <v>0.63</v>
      </c>
      <c r="AF22" s="2" t="s">
        <v>476</v>
      </c>
      <c r="AG22" s="23">
        <f>H406</f>
        <v>2507.4</v>
      </c>
      <c r="AH22" s="23">
        <f>H406*AD22*0.05</f>
        <v>78.983100000000007</v>
      </c>
    </row>
    <row r="23" spans="1:34" ht="18.600000000000001" thickBot="1" x14ac:dyDescent="0.5">
      <c r="A23" s="10" t="s">
        <v>4</v>
      </c>
      <c r="B23" s="3"/>
      <c r="C23" s="3"/>
      <c r="D23" s="3"/>
      <c r="E23" s="4" t="s">
        <v>1</v>
      </c>
      <c r="F23" s="4"/>
      <c r="G23" s="38" t="s">
        <v>508</v>
      </c>
      <c r="H23" s="42">
        <f>H2+1</f>
        <v>2</v>
      </c>
      <c r="I23" t="s">
        <v>509</v>
      </c>
      <c r="J23">
        <v>21</v>
      </c>
      <c r="K23" s="24" t="s">
        <v>64</v>
      </c>
      <c r="L23" s="23">
        <f t="shared" si="1"/>
        <v>115293.65079365081</v>
      </c>
      <c r="M23" s="23">
        <f t="shared" si="2"/>
        <v>94761.904761904763</v>
      </c>
      <c r="N23" s="23">
        <f t="shared" si="4"/>
        <v>20531.746031746054</v>
      </c>
      <c r="O23" s="23">
        <f t="shared" si="3"/>
        <v>37810000.000000037</v>
      </c>
      <c r="P23" s="23"/>
      <c r="Q23" s="2" t="s">
        <v>477</v>
      </c>
      <c r="R23" s="13">
        <f>IF(O254&lt;=0,0,O254)</f>
        <v>15920000.000000428</v>
      </c>
      <c r="S23" s="16">
        <f t="shared" si="8"/>
        <v>175120.00000000195</v>
      </c>
      <c r="T23" s="16">
        <f t="shared" si="7"/>
        <v>2897440.000000013</v>
      </c>
      <c r="U23" s="16">
        <f>IF(O3&lt;=0,0,(SUM(L3:L254)))</f>
        <v>27689357.500000026</v>
      </c>
      <c r="W23" s="2" t="s">
        <v>530</v>
      </c>
      <c r="X23" s="17">
        <f>計算用2!E440</f>
        <v>8.9006418650795425</v>
      </c>
      <c r="Z23" s="57"/>
      <c r="AC23" s="2" t="s">
        <v>477</v>
      </c>
      <c r="AD23" s="77">
        <f>AD22-($AD$22-$AD$32)/9</f>
        <v>0.63</v>
      </c>
      <c r="AF23" s="2" t="s">
        <v>477</v>
      </c>
      <c r="AG23" s="23">
        <f>H427</f>
        <v>2507.4</v>
      </c>
      <c r="AH23" s="23">
        <f>H427*AD23*0.05</f>
        <v>78.983100000000007</v>
      </c>
    </row>
    <row r="24" spans="1:34" ht="18.600000000000001" thickBot="1" x14ac:dyDescent="0.5">
      <c r="A24" s="133" t="s">
        <v>5</v>
      </c>
      <c r="B24" s="133"/>
      <c r="C24" s="133"/>
      <c r="D24" s="133"/>
      <c r="E24" s="11" t="s">
        <v>0</v>
      </c>
      <c r="F24" s="3"/>
      <c r="G24" s="36" t="s">
        <v>464</v>
      </c>
      <c r="H24" s="37">
        <f t="shared" ref="H24:H29" si="9">H3</f>
        <v>3980</v>
      </c>
      <c r="I24" t="s">
        <v>465</v>
      </c>
      <c r="J24">
        <v>22</v>
      </c>
      <c r="K24" s="24" t="s">
        <v>65</v>
      </c>
      <c r="L24" s="23">
        <f t="shared" si="1"/>
        <v>115242.32142857145</v>
      </c>
      <c r="M24" s="23">
        <f t="shared" si="2"/>
        <v>94761.904761904763</v>
      </c>
      <c r="N24" s="23">
        <f t="shared" si="4"/>
        <v>20480.41666666669</v>
      </c>
      <c r="O24" s="23">
        <f t="shared" si="3"/>
        <v>37715238.095238134</v>
      </c>
      <c r="P24" s="23"/>
      <c r="Q24" s="2" t="s">
        <v>478</v>
      </c>
      <c r="R24" s="13">
        <f>IF(O266&lt;=0,0,O266)</f>
        <v>14782857.14285757</v>
      </c>
      <c r="S24" s="16">
        <f t="shared" si="8"/>
        <v>175120.00000000195</v>
      </c>
      <c r="T24" s="16">
        <f t="shared" si="7"/>
        <v>2897440.000000013</v>
      </c>
      <c r="U24" s="16">
        <f>IF(O3&lt;=0,0,(SUM(L3:L266)))</f>
        <v>28926592.619047649</v>
      </c>
      <c r="W24" s="2" t="s">
        <v>531</v>
      </c>
      <c r="X24" s="17">
        <f>計算用2!E461</f>
        <v>8.5907991522368228</v>
      </c>
      <c r="Z24" s="57"/>
      <c r="AC24" s="2" t="s">
        <v>478</v>
      </c>
      <c r="AD24" s="77">
        <f t="shared" ref="AD24:AD31" si="10">AD23-($AD$22-$AD$32)/9</f>
        <v>0.63</v>
      </c>
      <c r="AF24" s="2" t="s">
        <v>478</v>
      </c>
      <c r="AG24" s="23">
        <f>H448</f>
        <v>2507.4</v>
      </c>
      <c r="AH24" s="23">
        <f>H448*AD24*0.05</f>
        <v>78.983100000000007</v>
      </c>
    </row>
    <row r="25" spans="1:34" ht="18.600000000000001" thickBot="1" x14ac:dyDescent="0.5">
      <c r="A25" s="85"/>
      <c r="B25" s="87"/>
      <c r="C25" s="127" t="s">
        <v>3</v>
      </c>
      <c r="D25" s="128"/>
      <c r="E25" s="29">
        <f>IF(H27="",0,H27)</f>
        <v>0</v>
      </c>
      <c r="F25" s="3"/>
      <c r="G25" s="25" t="s">
        <v>466</v>
      </c>
      <c r="H25" s="43">
        <f t="shared" si="9"/>
        <v>0.65</v>
      </c>
      <c r="I25" t="s">
        <v>469</v>
      </c>
      <c r="J25">
        <v>23</v>
      </c>
      <c r="K25" s="24" t="s">
        <v>66</v>
      </c>
      <c r="L25" s="23">
        <f t="shared" si="1"/>
        <v>115190.99206349209</v>
      </c>
      <c r="M25" s="23">
        <f t="shared" si="2"/>
        <v>94761.904761904763</v>
      </c>
      <c r="N25" s="23">
        <f t="shared" si="4"/>
        <v>20429.087301587326</v>
      </c>
      <c r="O25" s="23">
        <f t="shared" si="3"/>
        <v>37620476.190476231</v>
      </c>
      <c r="P25" s="23"/>
      <c r="Q25" s="2" t="s">
        <v>479</v>
      </c>
      <c r="R25" s="13">
        <f>IF(O278&lt;=0,0,O278)</f>
        <v>13645714.285714712</v>
      </c>
      <c r="S25" s="16">
        <f t="shared" si="8"/>
        <v>175120.00000000195</v>
      </c>
      <c r="T25" s="16">
        <f t="shared" si="7"/>
        <v>2897440.000000013</v>
      </c>
      <c r="U25" s="16">
        <f>IF(O3&lt;=0,0,(SUM(L3:L278)))</f>
        <v>30156436.309523843</v>
      </c>
      <c r="W25" s="2" t="s">
        <v>532</v>
      </c>
      <c r="X25" s="17">
        <f>計算用2!E482</f>
        <v>8.3052212301588906</v>
      </c>
      <c r="Z25" s="57"/>
      <c r="AC25" s="2" t="s">
        <v>479</v>
      </c>
      <c r="AD25" s="77">
        <f t="shared" si="10"/>
        <v>0.63</v>
      </c>
      <c r="AF25" s="2" t="s">
        <v>479</v>
      </c>
      <c r="AG25" s="23">
        <f>H469</f>
        <v>2507.4</v>
      </c>
      <c r="AH25" s="23">
        <f>H469*AD25*0.05</f>
        <v>78.983100000000007</v>
      </c>
    </row>
    <row r="26" spans="1:34" ht="18.600000000000001" thickBot="1" x14ac:dyDescent="0.5">
      <c r="A26" s="86"/>
      <c r="B26" s="88"/>
      <c r="C26" s="127" t="s">
        <v>6</v>
      </c>
      <c r="D26" s="128"/>
      <c r="E26" s="19">
        <f>IF(H30="",$H$7*0.06,H30)</f>
        <v>238.79999999999998</v>
      </c>
      <c r="F26" s="3"/>
      <c r="G26" s="25" t="s">
        <v>467</v>
      </c>
      <c r="H26" s="37">
        <f t="shared" si="9"/>
        <v>35</v>
      </c>
      <c r="I26" t="s">
        <v>468</v>
      </c>
      <c r="J26">
        <v>24</v>
      </c>
      <c r="K26" s="24" t="s">
        <v>67</v>
      </c>
      <c r="L26" s="23">
        <f t="shared" si="1"/>
        <v>115139.66269841272</v>
      </c>
      <c r="M26" s="23">
        <f t="shared" si="2"/>
        <v>94761.904761904763</v>
      </c>
      <c r="N26" s="23">
        <f t="shared" si="4"/>
        <v>20377.757936507962</v>
      </c>
      <c r="O26" s="23">
        <f t="shared" si="3"/>
        <v>37525714.285714328</v>
      </c>
      <c r="P26" s="23"/>
      <c r="Q26" s="2" t="s">
        <v>480</v>
      </c>
      <c r="R26" s="13">
        <f>IF(O290&lt;=0,0,O290)</f>
        <v>12508571.428571854</v>
      </c>
      <c r="S26" s="16">
        <f t="shared" si="8"/>
        <v>175120.00000000195</v>
      </c>
      <c r="T26" s="16">
        <f t="shared" si="7"/>
        <v>2897440.000000013</v>
      </c>
      <c r="U26" s="16">
        <f>IF(O3&lt;=0,0,(SUM(L3:L290)))</f>
        <v>31378888.571428608</v>
      </c>
      <c r="W26" s="2" t="s">
        <v>533</v>
      </c>
      <c r="X26" s="17">
        <f>計算用2!E503</f>
        <v>8.0408750000001525</v>
      </c>
      <c r="Z26" s="57"/>
      <c r="AC26" s="2" t="s">
        <v>480</v>
      </c>
      <c r="AD26" s="77">
        <f t="shared" si="10"/>
        <v>0.63</v>
      </c>
      <c r="AF26" s="2" t="s">
        <v>480</v>
      </c>
      <c r="AG26" s="23">
        <f>H490</f>
        <v>2507.4</v>
      </c>
      <c r="AH26" s="23">
        <f>H490*AD26*0.05</f>
        <v>78.983100000000007</v>
      </c>
    </row>
    <row r="27" spans="1:34" ht="18.600000000000001" thickBot="1" x14ac:dyDescent="0.5">
      <c r="A27" s="86"/>
      <c r="B27" s="91" t="s">
        <v>7</v>
      </c>
      <c r="C27" s="92"/>
      <c r="D27" s="92"/>
      <c r="E27" s="19">
        <f>SUM(E25:E26)</f>
        <v>238.79999999999998</v>
      </c>
      <c r="F27" s="3"/>
      <c r="G27" s="28" t="s">
        <v>3</v>
      </c>
      <c r="H27" s="37">
        <f t="shared" si="9"/>
        <v>0</v>
      </c>
      <c r="I27" t="s">
        <v>465</v>
      </c>
      <c r="J27">
        <v>25</v>
      </c>
      <c r="K27" s="24" t="s">
        <v>68</v>
      </c>
      <c r="L27" s="23">
        <f t="shared" si="1"/>
        <v>115088.33333333336</v>
      </c>
      <c r="M27" s="23">
        <f t="shared" si="2"/>
        <v>94761.904761904763</v>
      </c>
      <c r="N27" s="23">
        <f t="shared" si="4"/>
        <v>20326.428571428598</v>
      </c>
      <c r="O27" s="23">
        <f t="shared" si="3"/>
        <v>37430952.380952425</v>
      </c>
      <c r="P27" s="23"/>
      <c r="Q27" s="2" t="s">
        <v>481</v>
      </c>
      <c r="R27" s="13">
        <f>IF(O302&lt;=0,0,O302)</f>
        <v>11371428.571428996</v>
      </c>
      <c r="S27" s="16">
        <f t="shared" si="8"/>
        <v>175120.00000000195</v>
      </c>
      <c r="T27" s="16">
        <f t="shared" si="7"/>
        <v>2897440.000000013</v>
      </c>
      <c r="U27" s="16">
        <f>IF(O3&lt;=0,0,(SUM(L3:L302)))</f>
        <v>32593949.404761944</v>
      </c>
      <c r="W27" s="2" t="s">
        <v>534</v>
      </c>
      <c r="X27" s="17">
        <f>計算用2!E524</f>
        <v>7.7952126587303079</v>
      </c>
      <c r="Z27" s="57"/>
      <c r="AC27" s="2" t="s">
        <v>481</v>
      </c>
      <c r="AD27" s="77">
        <f t="shared" si="10"/>
        <v>0.63</v>
      </c>
      <c r="AF27" s="2" t="s">
        <v>481</v>
      </c>
      <c r="AG27" s="23">
        <f>H511</f>
        <v>2507.4</v>
      </c>
      <c r="AH27" s="23">
        <f>H511*AD27*0.05</f>
        <v>78.983100000000007</v>
      </c>
    </row>
    <row r="28" spans="1:34" ht="18.600000000000001" thickBot="1" x14ac:dyDescent="0.5">
      <c r="A28" s="86"/>
      <c r="B28" s="7"/>
      <c r="C28" s="5" t="s">
        <v>8</v>
      </c>
      <c r="D28" s="5"/>
      <c r="E28" s="49">
        <f>_xlfn.SWITCH(H23,1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277.75188095238099</v>
      </c>
      <c r="F28" s="3"/>
      <c r="G28" s="28" t="s">
        <v>16</v>
      </c>
      <c r="H28" s="37">
        <f>真実の家賃!$I$8*AD4</f>
        <v>3873.8666666666668</v>
      </c>
      <c r="I28" t="s">
        <v>465</v>
      </c>
      <c r="J28">
        <v>26</v>
      </c>
      <c r="K28" s="24" t="s">
        <v>69</v>
      </c>
      <c r="L28" s="23">
        <f t="shared" si="1"/>
        <v>115037.00396825399</v>
      </c>
      <c r="M28" s="23">
        <f t="shared" si="2"/>
        <v>94761.904761904763</v>
      </c>
      <c r="N28" s="23">
        <f t="shared" si="4"/>
        <v>20275.099206349234</v>
      </c>
      <c r="O28" s="23">
        <f t="shared" si="3"/>
        <v>37336190.476190522</v>
      </c>
      <c r="P28" s="23"/>
      <c r="Q28" s="2" t="s">
        <v>482</v>
      </c>
      <c r="R28" s="13">
        <f>IF(O314&lt;=0,0,O314)</f>
        <v>10234285.714286137</v>
      </c>
      <c r="S28" s="16">
        <f t="shared" si="8"/>
        <v>175120.00000000195</v>
      </c>
      <c r="T28" s="16">
        <f t="shared" si="7"/>
        <v>2897440.000000013</v>
      </c>
      <c r="U28" s="16">
        <f>IF(O3&lt;=0,0,(SUM(L3:L314)))</f>
        <v>33801618.809523851</v>
      </c>
      <c r="W28" s="2" t="s">
        <v>535</v>
      </c>
      <c r="X28" s="17">
        <f>計算用2!E545</f>
        <v>7.566078373016019</v>
      </c>
      <c r="Z28" s="57"/>
      <c r="AC28" s="2" t="s">
        <v>482</v>
      </c>
      <c r="AD28" s="77">
        <f t="shared" si="10"/>
        <v>0.63</v>
      </c>
      <c r="AF28" s="2" t="s">
        <v>482</v>
      </c>
      <c r="AG28" s="23">
        <f>H532</f>
        <v>2507.4</v>
      </c>
      <c r="AH28" s="23">
        <f>H532*AD28*0.05</f>
        <v>78.983100000000007</v>
      </c>
    </row>
    <row r="29" spans="1:34" ht="18.600000000000001" thickBot="1" x14ac:dyDescent="0.5">
      <c r="A29" s="86"/>
      <c r="B29" s="8"/>
      <c r="C29" s="127" t="s">
        <v>2</v>
      </c>
      <c r="D29" s="128"/>
      <c r="E29" s="19">
        <f>IF(H31="",H23*15,H31)</f>
        <v>30</v>
      </c>
      <c r="F29" s="3"/>
      <c r="G29" s="56" t="s">
        <v>573</v>
      </c>
      <c r="H29" s="40" t="str">
        <f t="shared" si="9"/>
        <v/>
      </c>
      <c r="I29" t="s">
        <v>465</v>
      </c>
      <c r="J29">
        <v>27</v>
      </c>
      <c r="K29" s="24" t="s">
        <v>70</v>
      </c>
      <c r="L29" s="23">
        <f t="shared" si="1"/>
        <v>114985.67460317463</v>
      </c>
      <c r="M29" s="23">
        <f t="shared" si="2"/>
        <v>94761.904761904763</v>
      </c>
      <c r="N29" s="23">
        <f t="shared" si="4"/>
        <v>20223.76984126987</v>
      </c>
      <c r="O29" s="23">
        <f t="shared" si="3"/>
        <v>37241428.571428619</v>
      </c>
      <c r="P29" s="23"/>
      <c r="Q29" s="2" t="s">
        <v>483</v>
      </c>
      <c r="R29" s="13">
        <f>IF(O326&lt;=0,0,O326)</f>
        <v>9097142.8571432792</v>
      </c>
      <c r="S29" s="16">
        <f t="shared" si="8"/>
        <v>175120.00000000195</v>
      </c>
      <c r="T29" s="16">
        <f t="shared" si="7"/>
        <v>2897440.000000013</v>
      </c>
      <c r="U29" s="16">
        <f>IF(O3&lt;=0,0,(SUM(L3:L326)))</f>
        <v>35001896.785714328</v>
      </c>
      <c r="W29" s="2" t="s">
        <v>536</v>
      </c>
      <c r="X29" s="17">
        <f>計算用2!E566</f>
        <v>7.3516356922400004</v>
      </c>
      <c r="Z29" s="57"/>
      <c r="AC29" s="2" t="s">
        <v>483</v>
      </c>
      <c r="AD29" s="77">
        <f t="shared" si="10"/>
        <v>0.63</v>
      </c>
      <c r="AF29" s="2" t="s">
        <v>483</v>
      </c>
      <c r="AG29" s="23">
        <f>H553</f>
        <v>2507.4</v>
      </c>
      <c r="AH29" s="23">
        <f>H553*AD29*0.05</f>
        <v>78.983100000000007</v>
      </c>
    </row>
    <row r="30" spans="1:34" ht="18.600000000000001" thickBot="1" x14ac:dyDescent="0.5">
      <c r="A30" s="86"/>
      <c r="B30" s="8"/>
      <c r="C30" s="129" t="s">
        <v>9</v>
      </c>
      <c r="D30" s="129"/>
      <c r="E30" s="19">
        <f>_xlfn.SWITCH(H23,1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-53.332000000000043</v>
      </c>
      <c r="F30" s="3"/>
      <c r="G30" s="34" t="s">
        <v>6</v>
      </c>
      <c r="H30" s="40" t="str">
        <f t="shared" ref="H30:H32" si="11">H9</f>
        <v/>
      </c>
      <c r="I30" t="s">
        <v>465</v>
      </c>
      <c r="J30">
        <v>28</v>
      </c>
      <c r="K30" s="24" t="s">
        <v>71</v>
      </c>
      <c r="L30" s="23">
        <f t="shared" si="1"/>
        <v>114934.34523809527</v>
      </c>
      <c r="M30" s="23">
        <f t="shared" si="2"/>
        <v>94761.904761904763</v>
      </c>
      <c r="N30" s="23">
        <f t="shared" si="4"/>
        <v>20172.440476190506</v>
      </c>
      <c r="O30" s="23">
        <f t="shared" si="3"/>
        <v>37146666.666666716</v>
      </c>
      <c r="P30" s="23"/>
      <c r="Q30" s="2" t="s">
        <v>484</v>
      </c>
      <c r="R30" s="13">
        <f>IF(O338&lt;=0,0,O338)</f>
        <v>7960000.000000421</v>
      </c>
      <c r="S30" s="16">
        <f t="shared" si="8"/>
        <v>175120.00000000195</v>
      </c>
      <c r="T30" s="16">
        <f t="shared" si="7"/>
        <v>2897440.000000013</v>
      </c>
      <c r="U30" s="16">
        <f>IF(O3&lt;=0,0,(SUM(L3:L338)))</f>
        <v>36194783.333333381</v>
      </c>
      <c r="W30" s="2" t="s">
        <v>537</v>
      </c>
      <c r="X30" s="17">
        <f>計算用2!E587</f>
        <v>7.1503105158731497</v>
      </c>
      <c r="Z30" s="57"/>
      <c r="AC30" s="2" t="s">
        <v>484</v>
      </c>
      <c r="AD30" s="77">
        <f t="shared" si="10"/>
        <v>0.63</v>
      </c>
      <c r="AF30" s="2" t="s">
        <v>484</v>
      </c>
      <c r="AG30" s="23">
        <f>H574</f>
        <v>2507.4</v>
      </c>
      <c r="AH30" s="23">
        <f>H574*AD30*0.05</f>
        <v>78.983100000000007</v>
      </c>
    </row>
    <row r="31" spans="1:34" ht="18.600000000000001" thickBot="1" x14ac:dyDescent="0.5">
      <c r="A31" s="86"/>
      <c r="B31" s="8"/>
      <c r="C31" s="130" t="s">
        <v>10</v>
      </c>
      <c r="D31" s="131"/>
      <c r="E31" s="49">
        <f>IF(H29="",$Z$3,H23*H29)</f>
        <v>0</v>
      </c>
      <c r="F31" s="3"/>
      <c r="G31" s="28" t="s">
        <v>560</v>
      </c>
      <c r="H31" s="40" t="str">
        <f t="shared" si="11"/>
        <v/>
      </c>
      <c r="I31" t="s">
        <v>465</v>
      </c>
      <c r="J31">
        <v>29</v>
      </c>
      <c r="K31" s="24" t="s">
        <v>72</v>
      </c>
      <c r="L31" s="23">
        <f t="shared" si="1"/>
        <v>114883.0158730159</v>
      </c>
      <c r="M31" s="23">
        <f t="shared" si="2"/>
        <v>94761.904761904763</v>
      </c>
      <c r="N31" s="23">
        <f t="shared" si="4"/>
        <v>20121.111111111139</v>
      </c>
      <c r="O31" s="23">
        <f t="shared" si="3"/>
        <v>37051904.761904813</v>
      </c>
      <c r="P31" s="23"/>
      <c r="Q31" s="2" t="s">
        <v>485</v>
      </c>
      <c r="R31" s="13">
        <f>IF(O350&lt;=0,0,O350)</f>
        <v>6822857.1428575628</v>
      </c>
      <c r="S31" s="16">
        <f t="shared" si="8"/>
        <v>175120.00000000195</v>
      </c>
      <c r="T31" s="16">
        <f t="shared" si="7"/>
        <v>2897440.000000013</v>
      </c>
      <c r="U31" s="16">
        <f>IF(O3&lt;=0,0,(SUM(L3:L350)))</f>
        <v>37380278.452381007</v>
      </c>
      <c r="W31" s="2" t="s">
        <v>538</v>
      </c>
      <c r="X31" s="17">
        <f>計算用2!E608</f>
        <v>6.9607458607007349</v>
      </c>
      <c r="Z31" s="57"/>
      <c r="AC31" s="2" t="s">
        <v>485</v>
      </c>
      <c r="AD31" s="77">
        <f t="shared" si="10"/>
        <v>0.63</v>
      </c>
      <c r="AF31" s="2" t="s">
        <v>485</v>
      </c>
      <c r="AG31" s="23">
        <f>H595</f>
        <v>2507.4</v>
      </c>
      <c r="AH31" s="23">
        <f>H595*AD31*0.05</f>
        <v>78.983100000000007</v>
      </c>
    </row>
    <row r="32" spans="1:34" ht="18.600000000000001" thickBot="1" x14ac:dyDescent="0.5">
      <c r="A32" s="86"/>
      <c r="B32" s="132" t="s">
        <v>11</v>
      </c>
      <c r="C32" s="126"/>
      <c r="D32" s="126"/>
      <c r="E32" s="19">
        <f>SUM(E28:E31)</f>
        <v>254.41988095238094</v>
      </c>
      <c r="F32" s="3"/>
      <c r="G32" s="33" t="s">
        <v>561</v>
      </c>
      <c r="H32" s="41" t="str">
        <f t="shared" si="11"/>
        <v/>
      </c>
      <c r="I32" t="s">
        <v>465</v>
      </c>
      <c r="J32">
        <v>30</v>
      </c>
      <c r="K32" s="24" t="s">
        <v>73</v>
      </c>
      <c r="L32" s="23">
        <f t="shared" si="1"/>
        <v>114831.68650793654</v>
      </c>
      <c r="M32" s="23">
        <f t="shared" si="2"/>
        <v>94761.904761904763</v>
      </c>
      <c r="N32" s="23">
        <f t="shared" si="4"/>
        <v>20069.781746031775</v>
      </c>
      <c r="O32" s="23">
        <f t="shared" si="3"/>
        <v>36957142.85714291</v>
      </c>
      <c r="P32" s="23"/>
      <c r="Q32" s="2" t="s">
        <v>486</v>
      </c>
      <c r="R32" s="13">
        <f>IF(O362&lt;=0,0,O362)</f>
        <v>5685714.2857147045</v>
      </c>
      <c r="S32" s="16">
        <f t="shared" si="8"/>
        <v>175120.00000000195</v>
      </c>
      <c r="T32" s="16">
        <f t="shared" si="7"/>
        <v>2897440.000000013</v>
      </c>
      <c r="U32" s="16">
        <f>IF(O3&lt;=0,0,(SUM(L3:L362)))</f>
        <v>38558382.142857201</v>
      </c>
      <c r="W32" s="2" t="s">
        <v>539</v>
      </c>
      <c r="X32" s="17">
        <f>計算用2!E629</f>
        <v>6.7817656746033022</v>
      </c>
      <c r="Z32" s="57"/>
      <c r="AC32" s="2" t="s">
        <v>486</v>
      </c>
      <c r="AD32" s="77">
        <f>真実の家賃!I11/100</f>
        <v>0.63</v>
      </c>
      <c r="AF32" s="2" t="s">
        <v>486</v>
      </c>
      <c r="AG32" s="23">
        <f>H616</f>
        <v>2507.4</v>
      </c>
      <c r="AH32" s="23">
        <f>H616*AD32*0.05</f>
        <v>78.983100000000007</v>
      </c>
    </row>
    <row r="33" spans="1:34" ht="18.600000000000001" thickBot="1" x14ac:dyDescent="0.5">
      <c r="A33" s="86"/>
      <c r="B33" s="7"/>
      <c r="C33" s="127" t="s">
        <v>12</v>
      </c>
      <c r="D33" s="128"/>
      <c r="E33" s="19">
        <f>_xlfn.SWITCH(H23,1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3752.571428571433</v>
      </c>
      <c r="F33" s="3"/>
      <c r="G33" s="30"/>
      <c r="J33">
        <v>31</v>
      </c>
      <c r="K33" s="24" t="s">
        <v>74</v>
      </c>
      <c r="L33" s="23">
        <f t="shared" si="1"/>
        <v>114780.35714285717</v>
      </c>
      <c r="M33" s="23">
        <f t="shared" si="2"/>
        <v>94761.904761904763</v>
      </c>
      <c r="N33" s="23">
        <f t="shared" si="4"/>
        <v>20018.452380952411</v>
      </c>
      <c r="O33" s="23">
        <f t="shared" si="3"/>
        <v>36862380.952381007</v>
      </c>
      <c r="P33" s="23"/>
      <c r="Q33" s="2" t="s">
        <v>487</v>
      </c>
      <c r="R33" s="13">
        <f>IF(O374&lt;=0,0,O374)</f>
        <v>4548571.4285718463</v>
      </c>
      <c r="S33" s="16">
        <f t="shared" si="8"/>
        <v>175120.00000000195</v>
      </c>
      <c r="T33" s="16">
        <f t="shared" si="7"/>
        <v>2897440.000000013</v>
      </c>
      <c r="U33" s="16">
        <f>IF(O3&lt;=0,0,(SUM(L3:L374)))</f>
        <v>39729094.404761963</v>
      </c>
      <c r="W33" s="2" t="s">
        <v>540</v>
      </c>
      <c r="X33" s="17">
        <f>計算用2!E650</f>
        <v>6.6123456541219889</v>
      </c>
      <c r="Z33" s="57"/>
      <c r="AC33" s="2" t="s">
        <v>487</v>
      </c>
      <c r="AD33" s="77">
        <f>$AD$32</f>
        <v>0.63</v>
      </c>
      <c r="AF33" s="2" t="s">
        <v>487</v>
      </c>
      <c r="AG33" s="23">
        <f>H637</f>
        <v>2507.4</v>
      </c>
      <c r="AH33" s="23">
        <f>H637*AD33*0.05</f>
        <v>78.983100000000007</v>
      </c>
    </row>
    <row r="34" spans="1:34" ht="18.600000000000001" thickBot="1" x14ac:dyDescent="0.5">
      <c r="A34" s="86"/>
      <c r="B34" s="8"/>
      <c r="C34" s="127" t="s">
        <v>13</v>
      </c>
      <c r="D34" s="128"/>
      <c r="E34" s="19">
        <f>IF(H32="",H28*0.05,H32)</f>
        <v>193.69333333333336</v>
      </c>
      <c r="F34" s="3"/>
      <c r="G34" s="30"/>
      <c r="J34">
        <v>32</v>
      </c>
      <c r="K34" s="24" t="s">
        <v>75</v>
      </c>
      <c r="L34" s="23">
        <f t="shared" si="1"/>
        <v>114729.02777777781</v>
      </c>
      <c r="M34" s="23">
        <f t="shared" si="2"/>
        <v>94761.904761904763</v>
      </c>
      <c r="N34" s="23">
        <f t="shared" si="4"/>
        <v>19967.123015873047</v>
      </c>
      <c r="O34" s="23">
        <f t="shared" si="3"/>
        <v>36767619.047619104</v>
      </c>
      <c r="P34" s="23"/>
      <c r="Q34" s="2" t="s">
        <v>488</v>
      </c>
      <c r="R34" s="13">
        <f>IF(O386&lt;=0,0,O386)</f>
        <v>3411428.5714289881</v>
      </c>
      <c r="S34" s="16">
        <f t="shared" si="8"/>
        <v>175120.00000000195</v>
      </c>
      <c r="T34" s="16">
        <f t="shared" si="7"/>
        <v>2897440.000000013</v>
      </c>
      <c r="U34" s="16">
        <f>IF(O3&lt;=0,0,(SUM(L3:L386)))</f>
        <v>40892415.238095298</v>
      </c>
      <c r="W34" s="2" t="s">
        <v>541</v>
      </c>
      <c r="X34" s="17">
        <f>計算用2!E671</f>
        <v>6.4515895337302789</v>
      </c>
      <c r="Z34" s="57"/>
      <c r="AC34" s="2" t="s">
        <v>488</v>
      </c>
      <c r="AD34" s="77">
        <f t="shared" ref="AD34:AD52" si="12">$AD$32</f>
        <v>0.63</v>
      </c>
      <c r="AF34" s="2" t="s">
        <v>488</v>
      </c>
      <c r="AG34" s="23">
        <f>H658</f>
        <v>2507.4</v>
      </c>
      <c r="AH34" s="23">
        <f>H658*AD34*0.05</f>
        <v>78.983100000000007</v>
      </c>
    </row>
    <row r="35" spans="1:34" ht="18.600000000000001" thickBot="1" x14ac:dyDescent="0.5">
      <c r="A35" s="86"/>
      <c r="B35" s="132" t="s">
        <v>14</v>
      </c>
      <c r="C35" s="126"/>
      <c r="D35" s="126"/>
      <c r="E35" s="19">
        <f>SUM(E33:E34)</f>
        <v>3946.2647619047661</v>
      </c>
      <c r="F35" s="3"/>
      <c r="G35" s="30"/>
      <c r="J35">
        <v>33</v>
      </c>
      <c r="K35" s="24" t="s">
        <v>76</v>
      </c>
      <c r="L35" s="23">
        <f t="shared" si="1"/>
        <v>114677.69841269845</v>
      </c>
      <c r="M35" s="23">
        <f t="shared" si="2"/>
        <v>94761.904761904763</v>
      </c>
      <c r="N35" s="23">
        <f t="shared" si="4"/>
        <v>19915.793650793683</v>
      </c>
      <c r="O35" s="23">
        <f t="shared" si="3"/>
        <v>36672857.142857201</v>
      </c>
      <c r="P35" s="23"/>
      <c r="Q35" s="2" t="s">
        <v>489</v>
      </c>
      <c r="R35" s="13">
        <f>IF(O398&lt;=0,0,O398)</f>
        <v>2274285.7142861299</v>
      </c>
      <c r="S35" s="16">
        <f t="shared" si="8"/>
        <v>175120.00000000195</v>
      </c>
      <c r="T35" s="16">
        <f t="shared" si="7"/>
        <v>2897440.000000013</v>
      </c>
      <c r="U35" s="16">
        <f>IF(O3&lt;=0,0,(SUM(L3:L398)))</f>
        <v>42048344.642857201</v>
      </c>
      <c r="W35" s="2" t="s">
        <v>542</v>
      </c>
      <c r="X35" s="17">
        <f>計算用2!E692</f>
        <v>6.2987096861473031</v>
      </c>
      <c r="Z35" s="57"/>
      <c r="AC35" s="2" t="s">
        <v>489</v>
      </c>
      <c r="AD35" s="77">
        <f t="shared" si="12"/>
        <v>0.63</v>
      </c>
      <c r="AF35" s="2" t="s">
        <v>489</v>
      </c>
      <c r="AG35" s="23">
        <f>H679</f>
        <v>2507.4</v>
      </c>
      <c r="AH35" s="23">
        <f>H679*AD35*0.05</f>
        <v>78.983100000000007</v>
      </c>
    </row>
    <row r="36" spans="1:34" ht="18.600000000000001" thickBot="1" x14ac:dyDescent="0.5">
      <c r="A36" s="97" t="s">
        <v>15</v>
      </c>
      <c r="B36" s="98"/>
      <c r="C36" s="98"/>
      <c r="D36" s="99"/>
      <c r="E36" s="20">
        <f>E27+E32+E35</f>
        <v>4439.4846428571473</v>
      </c>
      <c r="F36" s="3"/>
      <c r="J36">
        <v>34</v>
      </c>
      <c r="K36" s="24" t="s">
        <v>77</v>
      </c>
      <c r="L36" s="23">
        <f t="shared" si="1"/>
        <v>114626.36904761908</v>
      </c>
      <c r="M36" s="23">
        <f t="shared" si="2"/>
        <v>94761.904761904763</v>
      </c>
      <c r="N36" s="23">
        <f t="shared" si="4"/>
        <v>19864.464285714319</v>
      </c>
      <c r="O36" s="23">
        <f t="shared" si="3"/>
        <v>36578095.238095298</v>
      </c>
      <c r="P36" s="23"/>
      <c r="Q36" s="2" t="s">
        <v>490</v>
      </c>
      <c r="R36" s="13">
        <f>IF(O410&lt;=0,0,O410)</f>
        <v>1137142.8571432717</v>
      </c>
      <c r="S36" s="16">
        <f t="shared" si="8"/>
        <v>175120.00000000195</v>
      </c>
      <c r="T36" s="16">
        <f t="shared" si="7"/>
        <v>2897440.000000013</v>
      </c>
      <c r="U36" s="16">
        <f>IF(O3&lt;=0,0,(SUM(L3:L410)))</f>
        <v>43196882.619047686</v>
      </c>
      <c r="W36" s="2" t="s">
        <v>543</v>
      </c>
      <c r="X36" s="17">
        <f>計算用2!E713</f>
        <v>6.1530111461252304</v>
      </c>
      <c r="Z36" s="57"/>
      <c r="AC36" s="2" t="s">
        <v>490</v>
      </c>
      <c r="AD36" s="77">
        <f t="shared" si="12"/>
        <v>0.63</v>
      </c>
      <c r="AF36" s="2" t="s">
        <v>490</v>
      </c>
      <c r="AG36" s="23">
        <f>H700</f>
        <v>2507.4</v>
      </c>
      <c r="AH36" s="23">
        <f>H700*AD36*0.05</f>
        <v>78.983100000000007</v>
      </c>
    </row>
    <row r="37" spans="1:34" ht="18.600000000000001" thickBot="1" x14ac:dyDescent="0.5">
      <c r="A37" s="6"/>
      <c r="B37" s="126" t="s">
        <v>16</v>
      </c>
      <c r="C37" s="126"/>
      <c r="D37" s="126"/>
      <c r="E37" s="19">
        <f>H28</f>
        <v>3873.8666666666668</v>
      </c>
      <c r="F37" s="3"/>
      <c r="J37">
        <v>35</v>
      </c>
      <c r="K37" s="24" t="s">
        <v>78</v>
      </c>
      <c r="L37" s="23">
        <f t="shared" si="1"/>
        <v>114575.03968253972</v>
      </c>
      <c r="M37" s="23">
        <f t="shared" si="2"/>
        <v>94761.904761904763</v>
      </c>
      <c r="N37" s="23">
        <f t="shared" si="4"/>
        <v>19813.134920634955</v>
      </c>
      <c r="O37" s="23">
        <f t="shared" si="3"/>
        <v>36483333.333333395</v>
      </c>
      <c r="P37" s="23"/>
      <c r="Q37" s="2" t="s">
        <v>491</v>
      </c>
      <c r="R37" s="13">
        <f>IF(O422&lt;=0,0,O422)</f>
        <v>4.1481689549982548E-7</v>
      </c>
      <c r="S37" s="16">
        <f t="shared" si="8"/>
        <v>175120.00000000195</v>
      </c>
      <c r="T37" s="16">
        <f t="shared" si="7"/>
        <v>2897440.000000013</v>
      </c>
      <c r="U37" s="16">
        <f>IF(O3&lt;=0,0,(SUM(L3:L422)))</f>
        <v>44338029.166666739</v>
      </c>
      <c r="W37" s="2" t="s">
        <v>544</v>
      </c>
      <c r="X37" s="17">
        <f>計算用2!E734</f>
        <v>6.0138783730159862</v>
      </c>
      <c r="Z37" s="57"/>
      <c r="AC37" s="2" t="s">
        <v>491</v>
      </c>
      <c r="AD37" s="77">
        <f t="shared" si="12"/>
        <v>0.63</v>
      </c>
      <c r="AF37" s="2" t="s">
        <v>491</v>
      </c>
      <c r="AG37" s="23">
        <f>H721</f>
        <v>2507.4</v>
      </c>
      <c r="AH37" s="23">
        <f>H721*AD37*0.05</f>
        <v>78.983100000000007</v>
      </c>
    </row>
    <row r="38" spans="1:34" ht="18.600000000000001" thickBot="1" x14ac:dyDescent="0.5">
      <c r="A38" s="97" t="s">
        <v>17</v>
      </c>
      <c r="B38" s="98"/>
      <c r="C38" s="98"/>
      <c r="D38" s="99"/>
      <c r="E38" s="20">
        <f>E37</f>
        <v>3873.8666666666668</v>
      </c>
      <c r="F38" s="3"/>
      <c r="J38">
        <v>36</v>
      </c>
      <c r="K38" s="24" t="s">
        <v>79</v>
      </c>
      <c r="L38" s="23">
        <f t="shared" si="1"/>
        <v>114523.71031746035</v>
      </c>
      <c r="M38" s="23">
        <f t="shared" si="2"/>
        <v>94761.904761904763</v>
      </c>
      <c r="N38" s="23">
        <f t="shared" si="4"/>
        <v>19761.805555555591</v>
      </c>
      <c r="O38" s="23">
        <f t="shared" si="3"/>
        <v>36388571.428571492</v>
      </c>
      <c r="P38" s="23"/>
      <c r="Q38" s="2" t="s">
        <v>493</v>
      </c>
      <c r="R38">
        <f>IF(O434&lt;=0,0,O434)</f>
        <v>0</v>
      </c>
      <c r="S38" s="16">
        <f t="shared" si="8"/>
        <v>175120.00000000195</v>
      </c>
      <c r="T38" s="16">
        <f t="shared" si="7"/>
        <v>2897440.000000013</v>
      </c>
      <c r="U38" s="16">
        <f>U37</f>
        <v>44338029.166666739</v>
      </c>
      <c r="W38" s="2" t="s">
        <v>545</v>
      </c>
      <c r="X38" s="17">
        <f>計算用2!E755</f>
        <v>5.8815484182098894</v>
      </c>
      <c r="Z38" s="57"/>
      <c r="AC38" s="2" t="s">
        <v>493</v>
      </c>
      <c r="AD38" s="77">
        <f t="shared" si="12"/>
        <v>0.63</v>
      </c>
      <c r="AF38" s="2" t="s">
        <v>493</v>
      </c>
      <c r="AG38" s="23">
        <f>H742</f>
        <v>2507.4</v>
      </c>
      <c r="AH38" s="23">
        <f>H742*AD38*0.05</f>
        <v>78.983100000000007</v>
      </c>
    </row>
    <row r="39" spans="1:34" ht="18.600000000000001" thickBot="1" x14ac:dyDescent="0.5">
      <c r="A39" s="96" t="s">
        <v>18</v>
      </c>
      <c r="B39" s="96"/>
      <c r="C39" s="96"/>
      <c r="D39" s="96"/>
      <c r="E39" s="14">
        <f>12*H23</f>
        <v>24</v>
      </c>
      <c r="F39" s="3"/>
      <c r="J39">
        <v>37</v>
      </c>
      <c r="K39" s="24" t="s">
        <v>80</v>
      </c>
      <c r="L39" s="23">
        <f t="shared" si="1"/>
        <v>114472.38095238099</v>
      </c>
      <c r="M39" s="23">
        <f t="shared" si="2"/>
        <v>94761.904761904763</v>
      </c>
      <c r="N39" s="23">
        <f t="shared" si="4"/>
        <v>19710.476190476227</v>
      </c>
      <c r="O39" s="23">
        <f t="shared" si="3"/>
        <v>36293809.523809589</v>
      </c>
      <c r="Q39" s="2" t="s">
        <v>494</v>
      </c>
      <c r="R39">
        <f>IF(O446&lt;=0,0,O446)</f>
        <v>0</v>
      </c>
      <c r="S39" s="16">
        <f t="shared" si="8"/>
        <v>175120.00000000195</v>
      </c>
      <c r="T39" s="16">
        <f t="shared" si="7"/>
        <v>2897440.000000013</v>
      </c>
      <c r="U39" s="16">
        <f t="shared" ref="U39:U52" si="13">U38</f>
        <v>44338029.166666739</v>
      </c>
      <c r="W39" s="2" t="s">
        <v>546</v>
      </c>
      <c r="X39" s="17">
        <f>計算用2!E776</f>
        <v>5.7563714339339462</v>
      </c>
      <c r="Z39" s="57"/>
      <c r="AC39" s="2" t="s">
        <v>494</v>
      </c>
      <c r="AD39" s="77">
        <f t="shared" si="12"/>
        <v>0.63</v>
      </c>
      <c r="AF39" s="2" t="s">
        <v>494</v>
      </c>
      <c r="AG39" s="23">
        <f>H763</f>
        <v>2507.4</v>
      </c>
      <c r="AH39" s="23">
        <f>H763*AD39*0.05</f>
        <v>78.983100000000007</v>
      </c>
    </row>
    <row r="40" spans="1:34" ht="18.600000000000001" thickBot="1" x14ac:dyDescent="0.5">
      <c r="A40" s="3"/>
      <c r="B40" s="3"/>
      <c r="C40" s="3"/>
      <c r="D40" s="3"/>
      <c r="E40" s="3"/>
      <c r="F40" s="3"/>
      <c r="J40">
        <v>38</v>
      </c>
      <c r="K40" s="24" t="s">
        <v>81</v>
      </c>
      <c r="L40" s="23">
        <f t="shared" si="1"/>
        <v>114421.05158730163</v>
      </c>
      <c r="M40" s="23">
        <f t="shared" si="2"/>
        <v>94761.904761904763</v>
      </c>
      <c r="N40" s="23">
        <f t="shared" si="4"/>
        <v>19659.146825396863</v>
      </c>
      <c r="O40" s="23">
        <f t="shared" si="3"/>
        <v>36199047.619047686</v>
      </c>
      <c r="Q40" s="2" t="s">
        <v>495</v>
      </c>
      <c r="R40">
        <f>IF(O458&lt;=0,0,O458)</f>
        <v>0</v>
      </c>
      <c r="S40" s="16">
        <f t="shared" si="8"/>
        <v>175120.00000000195</v>
      </c>
      <c r="T40" s="16">
        <f t="shared" si="7"/>
        <v>2897440.000000013</v>
      </c>
      <c r="U40" s="16">
        <f t="shared" si="13"/>
        <v>44338029.166666739</v>
      </c>
      <c r="W40" s="2" t="s">
        <v>547</v>
      </c>
      <c r="X40" s="17">
        <f>計算用2!E797</f>
        <v>5.6377827119883168</v>
      </c>
      <c r="Z40" s="57"/>
      <c r="AC40" s="2" t="s">
        <v>495</v>
      </c>
      <c r="AD40" s="77">
        <f t="shared" si="12"/>
        <v>0.63</v>
      </c>
      <c r="AF40" s="2" t="s">
        <v>495</v>
      </c>
      <c r="AG40" s="23">
        <f>H784</f>
        <v>2507.4</v>
      </c>
      <c r="AH40" s="23">
        <f>H784*AD40*0.05</f>
        <v>78.983100000000007</v>
      </c>
    </row>
    <row r="41" spans="1:34" ht="18.600000000000001" thickBot="1" x14ac:dyDescent="0.5">
      <c r="A41" s="12" t="s">
        <v>19</v>
      </c>
      <c r="B41" s="12"/>
      <c r="C41" s="12"/>
      <c r="D41" s="12"/>
      <c r="E41" s="15">
        <f>-((E38-E36)/E39)</f>
        <v>23.567415674603353</v>
      </c>
      <c r="F41" s="3" t="s">
        <v>20</v>
      </c>
      <c r="J41">
        <v>39</v>
      </c>
      <c r="K41" s="24" t="s">
        <v>82</v>
      </c>
      <c r="L41" s="23">
        <f t="shared" si="1"/>
        <v>114369.72222222226</v>
      </c>
      <c r="M41" s="23">
        <f t="shared" si="2"/>
        <v>94761.904761904763</v>
      </c>
      <c r="N41" s="23">
        <f t="shared" si="4"/>
        <v>19607.817460317499</v>
      </c>
      <c r="O41" s="23">
        <f t="shared" si="3"/>
        <v>36104285.714285783</v>
      </c>
      <c r="Q41" s="2" t="s">
        <v>496</v>
      </c>
      <c r="R41">
        <f>IF(O470&lt;=0,0,O470)</f>
        <v>0</v>
      </c>
      <c r="S41" s="16">
        <f t="shared" si="8"/>
        <v>175120.00000000195</v>
      </c>
      <c r="T41" s="16">
        <f t="shared" si="7"/>
        <v>2897440.000000013</v>
      </c>
      <c r="U41" s="16">
        <f t="shared" si="13"/>
        <v>44338029.166666739</v>
      </c>
      <c r="W41" s="2" t="s">
        <v>548</v>
      </c>
      <c r="X41" s="17">
        <f>計算用2!E818</f>
        <v>5.5252754629629752</v>
      </c>
      <c r="Z41" s="57"/>
      <c r="AC41" s="2" t="s">
        <v>496</v>
      </c>
      <c r="AD41" s="77">
        <f t="shared" si="12"/>
        <v>0.63</v>
      </c>
      <c r="AF41" s="2" t="s">
        <v>496</v>
      </c>
      <c r="AG41" s="23">
        <f>H805</f>
        <v>2507.4</v>
      </c>
      <c r="AH41" s="23">
        <f>H805*AD41*0.05</f>
        <v>78.983100000000007</v>
      </c>
    </row>
    <row r="42" spans="1:34" x14ac:dyDescent="0.45">
      <c r="A42" s="3"/>
      <c r="B42" s="3"/>
      <c r="C42" s="3"/>
      <c r="D42" s="3"/>
      <c r="E42" s="3"/>
      <c r="F42" s="3"/>
      <c r="J42">
        <v>40</v>
      </c>
      <c r="K42" s="24" t="s">
        <v>83</v>
      </c>
      <c r="L42" s="23">
        <f t="shared" si="1"/>
        <v>114318.3928571429</v>
      </c>
      <c r="M42" s="23">
        <f t="shared" si="2"/>
        <v>94761.904761904763</v>
      </c>
      <c r="N42" s="23">
        <f t="shared" si="4"/>
        <v>19556.488095238135</v>
      </c>
      <c r="O42" s="23">
        <f t="shared" si="3"/>
        <v>36009523.80952388</v>
      </c>
      <c r="Q42" s="2" t="s">
        <v>497</v>
      </c>
      <c r="R42">
        <f>IF(O482&lt;=0,0,O482)</f>
        <v>0</v>
      </c>
      <c r="S42" s="16">
        <f t="shared" si="8"/>
        <v>175120.00000000195</v>
      </c>
      <c r="T42" s="16">
        <f t="shared" si="7"/>
        <v>2897440.000000013</v>
      </c>
      <c r="U42" s="16">
        <f t="shared" si="13"/>
        <v>44338029.166666739</v>
      </c>
      <c r="W42" s="2" t="s">
        <v>549</v>
      </c>
      <c r="X42" s="17">
        <f>計算用2!E839</f>
        <v>5.4183935763889002</v>
      </c>
      <c r="Z42" s="57"/>
      <c r="AC42" s="2" t="s">
        <v>497</v>
      </c>
      <c r="AD42" s="77">
        <f t="shared" si="12"/>
        <v>0.63</v>
      </c>
      <c r="AF42" s="2" t="s">
        <v>497</v>
      </c>
      <c r="AG42" s="23">
        <f>H826</f>
        <v>2507.4</v>
      </c>
      <c r="AH42" s="23">
        <f>H826*AD42*0.05</f>
        <v>78.983100000000007</v>
      </c>
    </row>
    <row r="43" spans="1:34" ht="18.600000000000001" thickBot="1" x14ac:dyDescent="0.5">
      <c r="A43" s="3"/>
      <c r="B43" s="3"/>
      <c r="D43" s="3"/>
      <c r="E43" s="3"/>
      <c r="F43" s="3"/>
      <c r="J43">
        <v>41</v>
      </c>
      <c r="K43" s="24" t="s">
        <v>84</v>
      </c>
      <c r="L43" s="23">
        <f t="shared" si="1"/>
        <v>114267.06349206353</v>
      </c>
      <c r="M43" s="23">
        <f t="shared" si="2"/>
        <v>94761.904761904763</v>
      </c>
      <c r="N43" s="23">
        <f t="shared" si="4"/>
        <v>19505.158730158772</v>
      </c>
      <c r="O43" s="23">
        <f t="shared" si="3"/>
        <v>35914761.904761977</v>
      </c>
      <c r="Q43" s="2" t="s">
        <v>498</v>
      </c>
      <c r="R43">
        <f>IF(O494&lt;=0,0,O494)</f>
        <v>0</v>
      </c>
      <c r="S43" s="16">
        <f t="shared" si="8"/>
        <v>175120.00000000195</v>
      </c>
      <c r="T43" s="16">
        <f t="shared" si="7"/>
        <v>2897440.000000013</v>
      </c>
      <c r="U43" s="16">
        <f t="shared" si="13"/>
        <v>44338029.166666739</v>
      </c>
      <c r="W43" s="2" t="s">
        <v>550</v>
      </c>
      <c r="X43" s="17">
        <f>計算用2!E860</f>
        <v>5.3167254403794155</v>
      </c>
      <c r="Z43" s="57"/>
      <c r="AC43" s="2" t="s">
        <v>498</v>
      </c>
      <c r="AD43" s="77">
        <f t="shared" si="12"/>
        <v>0.63</v>
      </c>
      <c r="AF43" s="2" t="s">
        <v>498</v>
      </c>
      <c r="AG43" s="23">
        <f>H847</f>
        <v>2507.4</v>
      </c>
      <c r="AH43" s="23">
        <f>H847*AD43*0.05</f>
        <v>78.983100000000007</v>
      </c>
    </row>
    <row r="44" spans="1:34" ht="18.600000000000001" thickBot="1" x14ac:dyDescent="0.5">
      <c r="A44" s="10" t="s">
        <v>4</v>
      </c>
      <c r="B44" s="3"/>
      <c r="C44" s="3"/>
      <c r="D44" s="3"/>
      <c r="E44" s="4" t="s">
        <v>1</v>
      </c>
      <c r="F44" s="4"/>
      <c r="G44" s="38" t="s">
        <v>508</v>
      </c>
      <c r="H44" s="42">
        <f>H23+1</f>
        <v>3</v>
      </c>
      <c r="I44" t="s">
        <v>509</v>
      </c>
      <c r="J44">
        <v>42</v>
      </c>
      <c r="K44" s="24" t="s">
        <v>85</v>
      </c>
      <c r="L44" s="23">
        <f t="shared" si="1"/>
        <v>114215.73412698417</v>
      </c>
      <c r="M44" s="23">
        <f t="shared" si="2"/>
        <v>94761.904761904763</v>
      </c>
      <c r="N44" s="23">
        <f t="shared" si="4"/>
        <v>19453.829365079404</v>
      </c>
      <c r="O44" s="23">
        <f t="shared" si="3"/>
        <v>35820000.000000075</v>
      </c>
      <c r="Q44" s="2" t="s">
        <v>499</v>
      </c>
      <c r="R44">
        <f>IF(O506&lt;=0,0,O506)</f>
        <v>0</v>
      </c>
      <c r="S44" s="16">
        <f t="shared" si="8"/>
        <v>175120.00000000195</v>
      </c>
      <c r="T44" s="16">
        <f t="shared" si="7"/>
        <v>2897440.000000013</v>
      </c>
      <c r="U44" s="16">
        <f t="shared" si="13"/>
        <v>44338029.166666739</v>
      </c>
      <c r="W44" s="2" t="s">
        <v>551</v>
      </c>
      <c r="X44" s="17">
        <f>計算用2!E881</f>
        <v>5.2198986441799056</v>
      </c>
      <c r="Z44" s="57"/>
      <c r="AC44" s="2" t="s">
        <v>499</v>
      </c>
      <c r="AD44" s="77">
        <f t="shared" si="12"/>
        <v>0.63</v>
      </c>
      <c r="AF44" s="2" t="s">
        <v>499</v>
      </c>
      <c r="AG44" s="23">
        <f>H868</f>
        <v>2507.4</v>
      </c>
      <c r="AH44" s="23">
        <f>H868*AD44*0.05</f>
        <v>78.983100000000007</v>
      </c>
    </row>
    <row r="45" spans="1:34" ht="18.600000000000001" thickBot="1" x14ac:dyDescent="0.5">
      <c r="A45" s="133" t="s">
        <v>5</v>
      </c>
      <c r="B45" s="133"/>
      <c r="C45" s="133"/>
      <c r="D45" s="133"/>
      <c r="E45" s="11" t="s">
        <v>0</v>
      </c>
      <c r="F45" s="3"/>
      <c r="G45" s="36" t="s">
        <v>464</v>
      </c>
      <c r="H45" s="37">
        <f t="shared" ref="H45:H50" si="14">H24</f>
        <v>3980</v>
      </c>
      <c r="I45" t="s">
        <v>465</v>
      </c>
      <c r="J45">
        <v>43</v>
      </c>
      <c r="K45" s="24" t="s">
        <v>86</v>
      </c>
      <c r="L45" s="23">
        <f t="shared" si="1"/>
        <v>114164.40476190481</v>
      </c>
      <c r="M45" s="23">
        <f t="shared" si="2"/>
        <v>94761.904761904763</v>
      </c>
      <c r="N45" s="23">
        <f t="shared" si="4"/>
        <v>19402.50000000004</v>
      </c>
      <c r="O45" s="23">
        <f t="shared" si="3"/>
        <v>35725238.095238172</v>
      </c>
      <c r="Q45" s="2" t="s">
        <v>500</v>
      </c>
      <c r="R45">
        <f>IF(O518&lt;=0,0,O518)</f>
        <v>0</v>
      </c>
      <c r="S45" s="16">
        <f t="shared" si="8"/>
        <v>175120.00000000195</v>
      </c>
      <c r="T45" s="16">
        <f t="shared" si="7"/>
        <v>2897440.000000013</v>
      </c>
      <c r="U45" s="16">
        <f t="shared" si="13"/>
        <v>44338029.166666739</v>
      </c>
      <c r="W45" s="2" t="s">
        <v>552</v>
      </c>
      <c r="X45" s="17">
        <f>計算用2!E902</f>
        <v>5.1275754198966519</v>
      </c>
      <c r="Z45" s="57"/>
      <c r="AC45" s="2" t="s">
        <v>500</v>
      </c>
      <c r="AD45" s="77">
        <f t="shared" si="12"/>
        <v>0.63</v>
      </c>
      <c r="AF45" s="2" t="s">
        <v>500</v>
      </c>
      <c r="AG45" s="23">
        <f>H889</f>
        <v>2507.4</v>
      </c>
      <c r="AH45" s="23">
        <f>H889*AD45*0.05</f>
        <v>78.983100000000007</v>
      </c>
    </row>
    <row r="46" spans="1:34" ht="18.600000000000001" thickBot="1" x14ac:dyDescent="0.5">
      <c r="A46" s="85"/>
      <c r="B46" s="87"/>
      <c r="C46" s="127" t="s">
        <v>3</v>
      </c>
      <c r="D46" s="128"/>
      <c r="E46" s="29">
        <f>IF(H48="",0,H48)</f>
        <v>0</v>
      </c>
      <c r="F46" s="3"/>
      <c r="G46" s="25" t="s">
        <v>466</v>
      </c>
      <c r="H46" s="43">
        <f t="shared" si="14"/>
        <v>0.65</v>
      </c>
      <c r="I46" t="s">
        <v>469</v>
      </c>
      <c r="J46">
        <v>44</v>
      </c>
      <c r="K46" s="24" t="s">
        <v>87</v>
      </c>
      <c r="L46" s="23">
        <f t="shared" si="1"/>
        <v>114113.07539682544</v>
      </c>
      <c r="M46" s="23">
        <f t="shared" si="2"/>
        <v>94761.904761904763</v>
      </c>
      <c r="N46" s="23">
        <f t="shared" si="4"/>
        <v>19351.170634920676</v>
      </c>
      <c r="O46" s="23">
        <f t="shared" si="3"/>
        <v>35630476.190476269</v>
      </c>
      <c r="Q46" s="2" t="s">
        <v>501</v>
      </c>
      <c r="R46">
        <f>IF(O530&lt;=0,0,O530)</f>
        <v>0</v>
      </c>
      <c r="S46" s="16">
        <f t="shared" si="8"/>
        <v>175120.00000000195</v>
      </c>
      <c r="T46" s="16">
        <f t="shared" si="7"/>
        <v>2897440.000000013</v>
      </c>
      <c r="U46" s="16">
        <f t="shared" si="13"/>
        <v>44338029.166666739</v>
      </c>
      <c r="W46" s="2" t="s">
        <v>553</v>
      </c>
      <c r="X46" s="17">
        <f>計算用2!E923</f>
        <v>5.0394487058080912</v>
      </c>
      <c r="Z46" s="57"/>
      <c r="AC46" s="2" t="s">
        <v>501</v>
      </c>
      <c r="AD46" s="77">
        <f t="shared" si="12"/>
        <v>0.63</v>
      </c>
      <c r="AF46" s="2" t="s">
        <v>501</v>
      </c>
      <c r="AG46" s="23">
        <f>H910</f>
        <v>2507.4</v>
      </c>
      <c r="AH46" s="23">
        <f>H910*AD46*0.05</f>
        <v>78.983100000000007</v>
      </c>
    </row>
    <row r="47" spans="1:34" ht="18.600000000000001" thickBot="1" x14ac:dyDescent="0.5">
      <c r="A47" s="86"/>
      <c r="B47" s="88"/>
      <c r="C47" s="127" t="s">
        <v>6</v>
      </c>
      <c r="D47" s="128"/>
      <c r="E47" s="19">
        <f>IF(H51="",$H$7*0.06,H51)</f>
        <v>238.79999999999998</v>
      </c>
      <c r="F47" s="3"/>
      <c r="G47" s="25" t="s">
        <v>467</v>
      </c>
      <c r="H47" s="37">
        <f t="shared" si="14"/>
        <v>35</v>
      </c>
      <c r="I47" t="s">
        <v>468</v>
      </c>
      <c r="J47">
        <v>45</v>
      </c>
      <c r="K47" s="24" t="s">
        <v>88</v>
      </c>
      <c r="L47" s="23">
        <f t="shared" si="1"/>
        <v>114061.74603174608</v>
      </c>
      <c r="M47" s="23">
        <f t="shared" si="2"/>
        <v>94761.904761904763</v>
      </c>
      <c r="N47" s="23">
        <f t="shared" si="4"/>
        <v>19299.841269841312</v>
      </c>
      <c r="O47" s="23">
        <f t="shared" si="3"/>
        <v>35535714.285714366</v>
      </c>
      <c r="Q47" s="2" t="s">
        <v>502</v>
      </c>
      <c r="R47">
        <f>IF(O542&lt;=0,0,O542)</f>
        <v>0</v>
      </c>
      <c r="S47" s="16">
        <f t="shared" si="8"/>
        <v>175120.00000000195</v>
      </c>
      <c r="T47" s="16">
        <f t="shared" si="7"/>
        <v>2897440.000000013</v>
      </c>
      <c r="U47" s="16">
        <f t="shared" si="13"/>
        <v>44338029.166666739</v>
      </c>
      <c r="W47" s="2" t="s">
        <v>554</v>
      </c>
      <c r="X47" s="17">
        <f>計算用2!E944</f>
        <v>4.9552387345679119</v>
      </c>
      <c r="Z47" s="57"/>
      <c r="AC47" s="2" t="s">
        <v>502</v>
      </c>
      <c r="AD47" s="77">
        <f t="shared" si="12"/>
        <v>0.63</v>
      </c>
      <c r="AF47" s="2" t="s">
        <v>502</v>
      </c>
      <c r="AG47" s="23">
        <f>H931</f>
        <v>2507.4</v>
      </c>
      <c r="AH47" s="23">
        <f>H931*AD47*0.05</f>
        <v>78.983100000000007</v>
      </c>
    </row>
    <row r="48" spans="1:34" ht="18.600000000000001" thickBot="1" x14ac:dyDescent="0.5">
      <c r="A48" s="86"/>
      <c r="B48" s="91" t="s">
        <v>7</v>
      </c>
      <c r="C48" s="92"/>
      <c r="D48" s="92"/>
      <c r="E48" s="19">
        <f>SUM(E46:E47)</f>
        <v>238.79999999999998</v>
      </c>
      <c r="F48" s="3"/>
      <c r="G48" s="28" t="s">
        <v>3</v>
      </c>
      <c r="H48" s="37">
        <f t="shared" si="14"/>
        <v>0</v>
      </c>
      <c r="I48" t="s">
        <v>465</v>
      </c>
      <c r="J48">
        <v>46</v>
      </c>
      <c r="K48" s="24" t="s">
        <v>89</v>
      </c>
      <c r="L48" s="23">
        <f t="shared" si="1"/>
        <v>114010.41666666672</v>
      </c>
      <c r="M48" s="23">
        <f t="shared" si="2"/>
        <v>94761.904761904763</v>
      </c>
      <c r="N48" s="23">
        <f t="shared" si="4"/>
        <v>19248.511904761948</v>
      </c>
      <c r="O48" s="23">
        <f t="shared" si="3"/>
        <v>35440952.380952463</v>
      </c>
      <c r="Q48" s="2" t="s">
        <v>503</v>
      </c>
      <c r="R48">
        <f>IF(O554&lt;=0,0,O554)</f>
        <v>0</v>
      </c>
      <c r="S48" s="16">
        <f t="shared" si="8"/>
        <v>175120.00000000195</v>
      </c>
      <c r="T48" s="16">
        <f t="shared" si="7"/>
        <v>2897440.000000013</v>
      </c>
      <c r="U48" s="16">
        <f t="shared" si="13"/>
        <v>44338029.166666739</v>
      </c>
      <c r="W48" s="2" t="s">
        <v>555</v>
      </c>
      <c r="X48" s="17">
        <f>計算用2!E965</f>
        <v>4.8746900664251314</v>
      </c>
      <c r="Z48" s="57"/>
      <c r="AC48" s="2" t="s">
        <v>503</v>
      </c>
      <c r="AD48" s="77">
        <f t="shared" si="12"/>
        <v>0.63</v>
      </c>
      <c r="AF48" s="2" t="s">
        <v>503</v>
      </c>
      <c r="AG48" s="23">
        <f>H952</f>
        <v>2507.4</v>
      </c>
      <c r="AH48" s="23">
        <f>H952*AD48*0.05</f>
        <v>78.983100000000007</v>
      </c>
    </row>
    <row r="49" spans="1:34" ht="18.600000000000001" thickBot="1" x14ac:dyDescent="0.5">
      <c r="A49" s="86"/>
      <c r="B49" s="7"/>
      <c r="C49" s="5" t="s">
        <v>8</v>
      </c>
      <c r="D49" s="5"/>
      <c r="E49" s="49">
        <f>_xlfn.SWITCH(H44,1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415.51910714285719</v>
      </c>
      <c r="F49" s="3"/>
      <c r="G49" s="28" t="s">
        <v>16</v>
      </c>
      <c r="H49" s="37">
        <f>真実の家賃!$I$8*AD5</f>
        <v>3767.7333333333336</v>
      </c>
      <c r="I49" t="s">
        <v>465</v>
      </c>
      <c r="J49">
        <v>47</v>
      </c>
      <c r="K49" s="24" t="s">
        <v>90</v>
      </c>
      <c r="L49" s="23">
        <f t="shared" si="1"/>
        <v>113959.08730158735</v>
      </c>
      <c r="M49" s="23">
        <f t="shared" si="2"/>
        <v>94761.904761904763</v>
      </c>
      <c r="N49" s="23">
        <f t="shared" si="4"/>
        <v>19197.182539682584</v>
      </c>
      <c r="O49" s="23">
        <f t="shared" si="3"/>
        <v>35346190.47619056</v>
      </c>
      <c r="Q49" s="2" t="s">
        <v>504</v>
      </c>
      <c r="R49">
        <f>IF(O566&lt;=0,0,O566)</f>
        <v>0</v>
      </c>
      <c r="S49" s="16">
        <f t="shared" si="8"/>
        <v>175120.00000000195</v>
      </c>
      <c r="T49" s="16">
        <f t="shared" si="7"/>
        <v>2897440.000000013</v>
      </c>
      <c r="U49" s="16">
        <f t="shared" si="13"/>
        <v>44338029.166666739</v>
      </c>
      <c r="W49" s="2" t="s">
        <v>556</v>
      </c>
      <c r="X49" s="17">
        <f>計算用2!E986</f>
        <v>4.7975690011820431</v>
      </c>
      <c r="Z49" s="57"/>
      <c r="AC49" s="2" t="s">
        <v>504</v>
      </c>
      <c r="AD49" s="77">
        <f t="shared" si="12"/>
        <v>0.63</v>
      </c>
      <c r="AF49" s="2" t="s">
        <v>504</v>
      </c>
      <c r="AG49" s="23">
        <f>H973</f>
        <v>2507.4</v>
      </c>
      <c r="AH49" s="23">
        <f>H973*AD49*0.05</f>
        <v>78.983100000000007</v>
      </c>
    </row>
    <row r="50" spans="1:34" ht="18.600000000000001" thickBot="1" x14ac:dyDescent="0.5">
      <c r="A50" s="86"/>
      <c r="B50" s="8"/>
      <c r="C50" s="127" t="s">
        <v>2</v>
      </c>
      <c r="D50" s="128"/>
      <c r="E50" s="19">
        <f>IF(H52="",H44*15,H52)</f>
        <v>45</v>
      </c>
      <c r="F50" s="3"/>
      <c r="G50" s="56" t="s">
        <v>573</v>
      </c>
      <c r="H50" s="40" t="str">
        <f t="shared" si="14"/>
        <v/>
      </c>
      <c r="I50" t="s">
        <v>465</v>
      </c>
      <c r="J50">
        <v>48</v>
      </c>
      <c r="K50" s="24" t="s">
        <v>91</v>
      </c>
      <c r="L50" s="23">
        <f t="shared" si="1"/>
        <v>113907.75793650799</v>
      </c>
      <c r="M50" s="23">
        <f t="shared" si="2"/>
        <v>94761.904761904763</v>
      </c>
      <c r="N50" s="23">
        <f t="shared" si="4"/>
        <v>19145.85317460322</v>
      </c>
      <c r="O50" s="23">
        <f t="shared" si="3"/>
        <v>35251428.571428657</v>
      </c>
      <c r="Q50" s="2" t="s">
        <v>505</v>
      </c>
      <c r="R50">
        <f>IF(O578&lt;=0,0,O578)</f>
        <v>0</v>
      </c>
      <c r="S50" s="16">
        <f t="shared" si="8"/>
        <v>175120.00000000195</v>
      </c>
      <c r="T50" s="16">
        <f t="shared" si="7"/>
        <v>2897440.000000013</v>
      </c>
      <c r="U50" s="16">
        <f t="shared" si="13"/>
        <v>44338029.166666739</v>
      </c>
      <c r="W50" s="2" t="s">
        <v>557</v>
      </c>
      <c r="X50" s="17">
        <f>計算用2!E1007</f>
        <v>4.7236613136574173</v>
      </c>
      <c r="Z50" s="57"/>
      <c r="AC50" s="2" t="s">
        <v>505</v>
      </c>
      <c r="AD50" s="77">
        <f t="shared" si="12"/>
        <v>0.63</v>
      </c>
      <c r="AF50" s="2" t="s">
        <v>505</v>
      </c>
      <c r="AG50" s="23">
        <f>H994</f>
        <v>2507.4</v>
      </c>
      <c r="AH50" s="23">
        <f>H994*AD50*0.05</f>
        <v>78.983100000000007</v>
      </c>
    </row>
    <row r="51" spans="1:34" ht="18.600000000000001" thickBot="1" x14ac:dyDescent="0.5">
      <c r="A51" s="86"/>
      <c r="B51" s="8"/>
      <c r="C51" s="129" t="s">
        <v>9</v>
      </c>
      <c r="D51" s="129"/>
      <c r="E51" s="19">
        <f>_xlfn.SWITCH(H44,1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-78.804000000000087</v>
      </c>
      <c r="F51" s="3"/>
      <c r="G51" s="34" t="s">
        <v>6</v>
      </c>
      <c r="H51" s="40" t="str">
        <f t="shared" ref="H51:H53" si="15">H30</f>
        <v/>
      </c>
      <c r="I51" t="s">
        <v>465</v>
      </c>
      <c r="J51">
        <v>49</v>
      </c>
      <c r="K51" s="24" t="s">
        <v>92</v>
      </c>
      <c r="L51" s="23">
        <f t="shared" si="1"/>
        <v>113856.42857142862</v>
      </c>
      <c r="M51" s="23">
        <f t="shared" si="2"/>
        <v>94761.904761904763</v>
      </c>
      <c r="N51" s="23">
        <f t="shared" si="4"/>
        <v>19094.523809523856</v>
      </c>
      <c r="O51" s="23">
        <f t="shared" si="3"/>
        <v>35156666.666666754</v>
      </c>
      <c r="Q51" s="2" t="s">
        <v>506</v>
      </c>
      <c r="R51">
        <f>IF(O590&lt;=0,0,O590)</f>
        <v>0</v>
      </c>
      <c r="S51" s="16">
        <f t="shared" si="8"/>
        <v>175120.00000000195</v>
      </c>
      <c r="T51" s="16">
        <f t="shared" si="7"/>
        <v>2897440.000000013</v>
      </c>
      <c r="U51" s="16">
        <f t="shared" si="13"/>
        <v>44338029.166666739</v>
      </c>
      <c r="W51" s="2" t="s">
        <v>558</v>
      </c>
      <c r="X51" s="17">
        <f>計算用2!E1028</f>
        <v>4.6527702664399184</v>
      </c>
      <c r="Z51" s="57"/>
      <c r="AC51" s="2" t="s">
        <v>506</v>
      </c>
      <c r="AD51" s="77">
        <f t="shared" si="12"/>
        <v>0.63</v>
      </c>
      <c r="AF51" s="2" t="s">
        <v>506</v>
      </c>
      <c r="AG51" s="23">
        <f>H1015</f>
        <v>2507.4</v>
      </c>
      <c r="AH51" s="23">
        <f>H1015*AD51*0.05</f>
        <v>78.983100000000007</v>
      </c>
    </row>
    <row r="52" spans="1:34" ht="18.600000000000001" thickBot="1" x14ac:dyDescent="0.5">
      <c r="A52" s="86"/>
      <c r="B52" s="8"/>
      <c r="C52" s="130" t="s">
        <v>10</v>
      </c>
      <c r="D52" s="131"/>
      <c r="E52" s="49">
        <f>IF(H50="",$Z$3,H44*H50)</f>
        <v>0</v>
      </c>
      <c r="F52" s="3"/>
      <c r="G52" s="28" t="s">
        <v>560</v>
      </c>
      <c r="H52" s="40" t="str">
        <f t="shared" si="15"/>
        <v/>
      </c>
      <c r="I52" t="s">
        <v>465</v>
      </c>
      <c r="J52">
        <v>50</v>
      </c>
      <c r="K52" s="24" t="s">
        <v>93</v>
      </c>
      <c r="L52" s="23">
        <f t="shared" si="1"/>
        <v>113805.09920634926</v>
      </c>
      <c r="M52" s="23">
        <f t="shared" si="2"/>
        <v>94761.904761904763</v>
      </c>
      <c r="N52" s="23">
        <f t="shared" si="4"/>
        <v>19043.194444444493</v>
      </c>
      <c r="O52" s="23">
        <f t="shared" si="3"/>
        <v>35061904.761904851</v>
      </c>
      <c r="Q52" s="2" t="s">
        <v>507</v>
      </c>
      <c r="R52">
        <f>IF(O602&lt;=0,0,O602)</f>
        <v>0</v>
      </c>
      <c r="S52" s="16">
        <f t="shared" si="8"/>
        <v>175120.00000000195</v>
      </c>
      <c r="T52" s="16">
        <f t="shared" si="7"/>
        <v>2897440.000000013</v>
      </c>
      <c r="U52" s="16">
        <f t="shared" si="13"/>
        <v>44338029.166666739</v>
      </c>
      <c r="W52" s="2" t="s">
        <v>559</v>
      </c>
      <c r="X52" s="17">
        <f>計算用2!E1049</f>
        <v>4.5847148611111201</v>
      </c>
      <c r="Z52" s="57"/>
      <c r="AC52" s="2" t="s">
        <v>507</v>
      </c>
      <c r="AD52" s="77">
        <f t="shared" si="12"/>
        <v>0.63</v>
      </c>
      <c r="AF52" s="2" t="s">
        <v>507</v>
      </c>
      <c r="AG52" s="23">
        <f>H1036</f>
        <v>2507.4</v>
      </c>
      <c r="AH52" s="23">
        <f>H1036*AD52*0.05</f>
        <v>78.983100000000007</v>
      </c>
    </row>
    <row r="53" spans="1:34" ht="18.600000000000001" thickBot="1" x14ac:dyDescent="0.5">
      <c r="A53" s="86"/>
      <c r="B53" s="132" t="s">
        <v>11</v>
      </c>
      <c r="C53" s="126"/>
      <c r="D53" s="126"/>
      <c r="E53" s="19">
        <f>SUM(E49:E52)</f>
        <v>381.71510714285711</v>
      </c>
      <c r="F53" s="3"/>
      <c r="G53" s="33" t="s">
        <v>561</v>
      </c>
      <c r="H53" s="41" t="str">
        <f t="shared" si="15"/>
        <v/>
      </c>
      <c r="I53" t="s">
        <v>465</v>
      </c>
      <c r="J53">
        <v>51</v>
      </c>
      <c r="K53" s="24" t="s">
        <v>94</v>
      </c>
      <c r="L53" s="23">
        <f t="shared" si="1"/>
        <v>113753.7698412699</v>
      </c>
      <c r="M53" s="23">
        <f t="shared" si="2"/>
        <v>94761.904761904763</v>
      </c>
      <c r="N53" s="23">
        <f t="shared" si="4"/>
        <v>18991.865079365129</v>
      </c>
      <c r="O53" s="23">
        <f t="shared" si="3"/>
        <v>34967142.857142948</v>
      </c>
    </row>
    <row r="54" spans="1:34" ht="18.600000000000001" thickBot="1" x14ac:dyDescent="0.5">
      <c r="A54" s="86"/>
      <c r="B54" s="7"/>
      <c r="C54" s="127" t="s">
        <v>12</v>
      </c>
      <c r="D54" s="128"/>
      <c r="E54" s="19">
        <f>_xlfn.SWITCH(H44,1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3638.857142857149</v>
      </c>
      <c r="F54" s="3"/>
      <c r="G54" s="30"/>
      <c r="J54">
        <v>52</v>
      </c>
      <c r="K54" s="24" t="s">
        <v>95</v>
      </c>
      <c r="L54" s="23">
        <f t="shared" si="1"/>
        <v>113702.44047619053</v>
      </c>
      <c r="M54" s="23">
        <f t="shared" si="2"/>
        <v>94761.904761904763</v>
      </c>
      <c r="N54" s="23">
        <f t="shared" si="4"/>
        <v>18940.535714285765</v>
      </c>
      <c r="O54" s="23">
        <f t="shared" si="3"/>
        <v>34872380.952381045</v>
      </c>
    </row>
    <row r="55" spans="1:34" ht="18.600000000000001" thickBot="1" x14ac:dyDescent="0.5">
      <c r="A55" s="86"/>
      <c r="B55" s="8"/>
      <c r="C55" s="127" t="s">
        <v>13</v>
      </c>
      <c r="D55" s="128"/>
      <c r="E55" s="19">
        <f>IF(H53="",H49*0.05,H53)</f>
        <v>188.38666666666668</v>
      </c>
      <c r="F55" s="3"/>
      <c r="G55" s="30"/>
      <c r="J55">
        <v>53</v>
      </c>
      <c r="K55" s="24" t="s">
        <v>96</v>
      </c>
      <c r="L55" s="23">
        <f t="shared" si="1"/>
        <v>113651.11111111117</v>
      </c>
      <c r="M55" s="23">
        <f t="shared" si="2"/>
        <v>94761.904761904763</v>
      </c>
      <c r="N55" s="23">
        <f t="shared" si="4"/>
        <v>18889.206349206401</v>
      </c>
      <c r="O55" s="23">
        <f t="shared" si="3"/>
        <v>34777619.047619142</v>
      </c>
    </row>
    <row r="56" spans="1:34" ht="18.600000000000001" thickBot="1" x14ac:dyDescent="0.5">
      <c r="A56" s="86"/>
      <c r="B56" s="132" t="s">
        <v>14</v>
      </c>
      <c r="C56" s="126"/>
      <c r="D56" s="126"/>
      <c r="E56" s="19">
        <f>SUM(E54:E55)</f>
        <v>3827.2438095238158</v>
      </c>
      <c r="F56" s="3"/>
      <c r="G56" s="30"/>
      <c r="J56">
        <v>54</v>
      </c>
      <c r="K56" s="24" t="s">
        <v>97</v>
      </c>
      <c r="L56" s="23">
        <f t="shared" si="1"/>
        <v>113599.7817460318</v>
      </c>
      <c r="M56" s="23">
        <f t="shared" si="2"/>
        <v>94761.904761904763</v>
      </c>
      <c r="N56" s="23">
        <f t="shared" si="4"/>
        <v>18837.876984127037</v>
      </c>
      <c r="O56" s="23">
        <f t="shared" si="3"/>
        <v>34682857.142857239</v>
      </c>
    </row>
    <row r="57" spans="1:34" ht="18.600000000000001" thickBot="1" x14ac:dyDescent="0.5">
      <c r="A57" s="97" t="s">
        <v>15</v>
      </c>
      <c r="B57" s="98"/>
      <c r="C57" s="98"/>
      <c r="D57" s="99"/>
      <c r="E57" s="20">
        <f>E48+E53+E56</f>
        <v>4447.758916666673</v>
      </c>
      <c r="F57" s="3"/>
      <c r="J57">
        <v>55</v>
      </c>
      <c r="K57" s="24" t="s">
        <v>98</v>
      </c>
      <c r="L57" s="23">
        <f t="shared" si="1"/>
        <v>113548.45238095244</v>
      </c>
      <c r="M57" s="23">
        <f t="shared" si="2"/>
        <v>94761.904761904763</v>
      </c>
      <c r="N57" s="23">
        <f t="shared" si="4"/>
        <v>18786.547619047673</v>
      </c>
      <c r="O57" s="23">
        <f t="shared" si="3"/>
        <v>34588095.238095336</v>
      </c>
    </row>
    <row r="58" spans="1:34" ht="18.600000000000001" thickBot="1" x14ac:dyDescent="0.5">
      <c r="A58" s="6"/>
      <c r="B58" s="126" t="s">
        <v>16</v>
      </c>
      <c r="C58" s="126"/>
      <c r="D58" s="126"/>
      <c r="E58" s="19">
        <f>H49</f>
        <v>3767.7333333333336</v>
      </c>
      <c r="F58" s="3"/>
      <c r="J58">
        <v>56</v>
      </c>
      <c r="K58" s="24" t="s">
        <v>99</v>
      </c>
      <c r="L58" s="23">
        <f t="shared" si="1"/>
        <v>113497.12301587308</v>
      </c>
      <c r="M58" s="23">
        <f t="shared" si="2"/>
        <v>94761.904761904763</v>
      </c>
      <c r="N58" s="23">
        <f t="shared" si="4"/>
        <v>18735.218253968309</v>
      </c>
      <c r="O58" s="23">
        <f t="shared" si="3"/>
        <v>34493333.333333433</v>
      </c>
    </row>
    <row r="59" spans="1:34" ht="18.600000000000001" thickBot="1" x14ac:dyDescent="0.5">
      <c r="A59" s="97" t="s">
        <v>17</v>
      </c>
      <c r="B59" s="98"/>
      <c r="C59" s="98"/>
      <c r="D59" s="99"/>
      <c r="E59" s="20">
        <f>E58</f>
        <v>3767.7333333333336</v>
      </c>
      <c r="F59" s="3"/>
      <c r="J59">
        <v>57</v>
      </c>
      <c r="K59" s="24" t="s">
        <v>100</v>
      </c>
      <c r="L59" s="23">
        <f t="shared" si="1"/>
        <v>113445.79365079371</v>
      </c>
      <c r="M59" s="23">
        <f t="shared" si="2"/>
        <v>94761.904761904763</v>
      </c>
      <c r="N59" s="23">
        <f t="shared" si="4"/>
        <v>18683.888888888945</v>
      </c>
      <c r="O59" s="23">
        <f t="shared" si="3"/>
        <v>34398571.42857153</v>
      </c>
    </row>
    <row r="60" spans="1:34" ht="18.600000000000001" thickBot="1" x14ac:dyDescent="0.5">
      <c r="A60" s="96" t="s">
        <v>18</v>
      </c>
      <c r="B60" s="96"/>
      <c r="C60" s="96"/>
      <c r="D60" s="96"/>
      <c r="E60" s="14">
        <f>12*H44</f>
        <v>36</v>
      </c>
      <c r="F60" s="3"/>
      <c r="J60">
        <v>58</v>
      </c>
      <c r="K60" s="24" t="s">
        <v>101</v>
      </c>
      <c r="L60" s="23">
        <f t="shared" si="1"/>
        <v>113394.46428571435</v>
      </c>
      <c r="M60" s="23">
        <f t="shared" si="2"/>
        <v>94761.904761904763</v>
      </c>
      <c r="N60" s="23">
        <f t="shared" si="4"/>
        <v>18632.559523809581</v>
      </c>
      <c r="O60" s="23">
        <f t="shared" si="3"/>
        <v>34303809.523809627</v>
      </c>
    </row>
    <row r="61" spans="1:34" ht="18.600000000000001" thickBot="1" x14ac:dyDescent="0.5">
      <c r="A61" s="3"/>
      <c r="B61" s="3"/>
      <c r="C61" s="3"/>
      <c r="D61" s="3"/>
      <c r="E61" s="3"/>
      <c r="F61" s="3"/>
      <c r="J61">
        <v>59</v>
      </c>
      <c r="K61" s="24" t="s">
        <v>102</v>
      </c>
      <c r="L61" s="23">
        <f t="shared" si="1"/>
        <v>113343.13492063498</v>
      </c>
      <c r="M61" s="23">
        <f t="shared" si="2"/>
        <v>94761.904761904763</v>
      </c>
      <c r="N61" s="23">
        <f t="shared" si="4"/>
        <v>18581.230158730217</v>
      </c>
      <c r="O61" s="23">
        <f t="shared" si="3"/>
        <v>34209047.619047724</v>
      </c>
    </row>
    <row r="62" spans="1:34" ht="18.600000000000001" thickBot="1" x14ac:dyDescent="0.5">
      <c r="A62" s="12" t="s">
        <v>19</v>
      </c>
      <c r="B62" s="12"/>
      <c r="C62" s="12"/>
      <c r="D62" s="12"/>
      <c r="E62" s="15">
        <f>-((E59-E57)/E60)</f>
        <v>18.889599537037206</v>
      </c>
      <c r="F62" s="3" t="s">
        <v>20</v>
      </c>
      <c r="J62">
        <v>60</v>
      </c>
      <c r="K62" s="24" t="s">
        <v>103</v>
      </c>
      <c r="L62" s="23">
        <f t="shared" si="1"/>
        <v>113291.80555555562</v>
      </c>
      <c r="M62" s="23">
        <f t="shared" si="2"/>
        <v>94761.904761904763</v>
      </c>
      <c r="N62" s="23">
        <f>IF(O61&lt;=0,0,(O61*($H$4/100)/12))</f>
        <v>18529.900793650853</v>
      </c>
      <c r="O62" s="23">
        <f t="shared" si="3"/>
        <v>34114285.714285821</v>
      </c>
    </row>
    <row r="63" spans="1:34" x14ac:dyDescent="0.45">
      <c r="A63" s="3"/>
      <c r="B63" s="3"/>
      <c r="C63" s="3"/>
      <c r="D63" s="3"/>
      <c r="E63" s="3"/>
      <c r="F63" s="3"/>
      <c r="J63">
        <v>61</v>
      </c>
      <c r="K63" s="24" t="s">
        <v>104</v>
      </c>
      <c r="L63" s="23">
        <f>IF(O62&lt;=0,0,(M63+N63))</f>
        <v>113240.47619047626</v>
      </c>
      <c r="M63" s="23">
        <f t="shared" si="2"/>
        <v>94761.904761904763</v>
      </c>
      <c r="N63" s="23">
        <f t="shared" si="4"/>
        <v>18478.571428571489</v>
      </c>
      <c r="O63" s="23">
        <f t="shared" si="3"/>
        <v>34019523.809523918</v>
      </c>
    </row>
    <row r="64" spans="1:34" ht="18.600000000000001" thickBot="1" x14ac:dyDescent="0.5">
      <c r="A64" s="3"/>
      <c r="B64" s="3"/>
      <c r="D64" s="3"/>
      <c r="E64" s="3"/>
      <c r="F64" s="3"/>
      <c r="J64">
        <v>62</v>
      </c>
      <c r="K64" s="24" t="s">
        <v>105</v>
      </c>
      <c r="L64" s="23">
        <f t="shared" si="1"/>
        <v>113189.14682539689</v>
      </c>
      <c r="M64" s="23">
        <f t="shared" si="2"/>
        <v>94761.904761904763</v>
      </c>
      <c r="N64" s="23">
        <f t="shared" si="4"/>
        <v>18427.242063492125</v>
      </c>
      <c r="O64" s="23">
        <f t="shared" si="3"/>
        <v>33924761.904762015</v>
      </c>
    </row>
    <row r="65" spans="1:15" ht="18.600000000000001" thickBot="1" x14ac:dyDescent="0.5">
      <c r="A65" s="10" t="s">
        <v>4</v>
      </c>
      <c r="B65" s="3"/>
      <c r="C65" s="3"/>
      <c r="D65" s="3"/>
      <c r="E65" s="4" t="s">
        <v>1</v>
      </c>
      <c r="F65" s="4"/>
      <c r="G65" s="38" t="s">
        <v>508</v>
      </c>
      <c r="H65" s="42">
        <f t="shared" ref="H65" si="16">H44+1</f>
        <v>4</v>
      </c>
      <c r="I65" t="s">
        <v>509</v>
      </c>
      <c r="J65">
        <v>63</v>
      </c>
      <c r="K65" s="24" t="s">
        <v>106</v>
      </c>
      <c r="L65" s="23">
        <f t="shared" si="1"/>
        <v>113137.81746031753</v>
      </c>
      <c r="M65" s="23">
        <f t="shared" si="2"/>
        <v>94761.904761904763</v>
      </c>
      <c r="N65" s="23">
        <f t="shared" si="4"/>
        <v>18375.912698412762</v>
      </c>
      <c r="O65" s="23">
        <f t="shared" si="3"/>
        <v>33830000.000000112</v>
      </c>
    </row>
    <row r="66" spans="1:15" ht="18.600000000000001" thickBot="1" x14ac:dyDescent="0.5">
      <c r="A66" s="133" t="s">
        <v>5</v>
      </c>
      <c r="B66" s="133"/>
      <c r="C66" s="133"/>
      <c r="D66" s="133"/>
      <c r="E66" s="11" t="s">
        <v>0</v>
      </c>
      <c r="F66" s="3"/>
      <c r="G66" s="36" t="s">
        <v>464</v>
      </c>
      <c r="H66" s="37">
        <f t="shared" ref="H66:H116" si="17">H45</f>
        <v>3980</v>
      </c>
      <c r="I66" t="s">
        <v>465</v>
      </c>
      <c r="J66">
        <v>64</v>
      </c>
      <c r="K66" s="24" t="s">
        <v>107</v>
      </c>
      <c r="L66" s="23">
        <f t="shared" si="1"/>
        <v>113086.48809523816</v>
      </c>
      <c r="M66" s="23">
        <f t="shared" si="2"/>
        <v>94761.904761904763</v>
      </c>
      <c r="N66" s="23">
        <f t="shared" si="4"/>
        <v>18324.583333333398</v>
      </c>
      <c r="O66" s="23">
        <f t="shared" si="3"/>
        <v>33735238.095238209</v>
      </c>
    </row>
    <row r="67" spans="1:15" ht="18.600000000000001" thickBot="1" x14ac:dyDescent="0.5">
      <c r="A67" s="85"/>
      <c r="B67" s="87"/>
      <c r="C67" s="127" t="s">
        <v>3</v>
      </c>
      <c r="D67" s="128"/>
      <c r="E67" s="29">
        <f t="shared" ref="E67" si="18">IF(H69="",0,H69)</f>
        <v>0</v>
      </c>
      <c r="F67" s="3"/>
      <c r="G67" s="25" t="s">
        <v>466</v>
      </c>
      <c r="H67" s="43">
        <f t="shared" si="17"/>
        <v>0.65</v>
      </c>
      <c r="I67" t="s">
        <v>469</v>
      </c>
      <c r="J67">
        <v>65</v>
      </c>
      <c r="K67" s="24" t="s">
        <v>108</v>
      </c>
      <c r="L67" s="23">
        <f t="shared" si="1"/>
        <v>113035.1587301588</v>
      </c>
      <c r="M67" s="23">
        <f t="shared" si="2"/>
        <v>94761.904761904763</v>
      </c>
      <c r="N67" s="23">
        <f t="shared" si="4"/>
        <v>18273.253968254034</v>
      </c>
      <c r="O67" s="23">
        <f t="shared" si="3"/>
        <v>33640476.190476306</v>
      </c>
    </row>
    <row r="68" spans="1:15" ht="18.600000000000001" thickBot="1" x14ac:dyDescent="0.5">
      <c r="A68" s="86"/>
      <c r="B68" s="88"/>
      <c r="C68" s="127" t="s">
        <v>6</v>
      </c>
      <c r="D68" s="128"/>
      <c r="E68" s="19">
        <f>IF(H72="",$H$7*0.06,H72)</f>
        <v>238.79999999999998</v>
      </c>
      <c r="F68" s="3"/>
      <c r="G68" s="25" t="s">
        <v>467</v>
      </c>
      <c r="H68" s="37">
        <f t="shared" si="17"/>
        <v>35</v>
      </c>
      <c r="I68" t="s">
        <v>468</v>
      </c>
      <c r="J68">
        <v>66</v>
      </c>
      <c r="K68" s="24" t="s">
        <v>109</v>
      </c>
      <c r="L68" s="23">
        <f t="shared" si="1"/>
        <v>112983.82936507944</v>
      </c>
      <c r="M68" s="23">
        <f t="shared" si="2"/>
        <v>94761.904761904763</v>
      </c>
      <c r="N68" s="23">
        <f t="shared" si="4"/>
        <v>18221.924603174666</v>
      </c>
      <c r="O68" s="23">
        <f t="shared" si="3"/>
        <v>33545714.285714403</v>
      </c>
    </row>
    <row r="69" spans="1:15" ht="18.600000000000001" thickBot="1" x14ac:dyDescent="0.5">
      <c r="A69" s="86"/>
      <c r="B69" s="91" t="s">
        <v>7</v>
      </c>
      <c r="C69" s="92"/>
      <c r="D69" s="92"/>
      <c r="E69" s="19">
        <f t="shared" ref="E69" si="19">SUM(E67:E68)</f>
        <v>238.79999999999998</v>
      </c>
      <c r="F69" s="3"/>
      <c r="G69" s="28" t="s">
        <v>3</v>
      </c>
      <c r="H69" s="37">
        <f t="shared" si="17"/>
        <v>0</v>
      </c>
      <c r="I69" t="s">
        <v>465</v>
      </c>
      <c r="J69">
        <v>67</v>
      </c>
      <c r="K69" s="24" t="s">
        <v>110</v>
      </c>
      <c r="L69" s="23">
        <f t="shared" si="1"/>
        <v>112932.50000000006</v>
      </c>
      <c r="M69" s="23">
        <f t="shared" si="2"/>
        <v>94761.904761904763</v>
      </c>
      <c r="N69" s="23">
        <f t="shared" si="4"/>
        <v>18170.595238095302</v>
      </c>
      <c r="O69" s="23">
        <f t="shared" si="3"/>
        <v>33450952.3809525</v>
      </c>
    </row>
    <row r="70" spans="1:15" ht="18.600000000000001" thickBot="1" x14ac:dyDescent="0.5">
      <c r="A70" s="86"/>
      <c r="B70" s="7"/>
      <c r="C70" s="5" t="s">
        <v>8</v>
      </c>
      <c r="D70" s="5"/>
      <c r="E70" s="49">
        <f t="shared" ref="E70" si="20">_xlfn.SWITCH(H65,1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552.54719047619062</v>
      </c>
      <c r="F70" s="3"/>
      <c r="G70" s="28" t="s">
        <v>16</v>
      </c>
      <c r="H70" s="37">
        <f>真実の家賃!$I$8*AD6</f>
        <v>3661.6000000000008</v>
      </c>
      <c r="I70" t="s">
        <v>465</v>
      </c>
      <c r="J70">
        <v>68</v>
      </c>
      <c r="K70" s="24" t="s">
        <v>111</v>
      </c>
      <c r="L70" s="23">
        <f t="shared" ref="L70:L133" si="21">IF(O69&lt;=0,0,(M70+N70))</f>
        <v>112881.17063492071</v>
      </c>
      <c r="M70" s="23">
        <f t="shared" ref="M70:M133" si="22">IF(O69&lt;=0,0,(($H$3*10000)/($H$5*12)))</f>
        <v>94761.904761904763</v>
      </c>
      <c r="N70" s="23">
        <f t="shared" si="4"/>
        <v>18119.265873015938</v>
      </c>
      <c r="O70" s="23">
        <f t="shared" ref="O70:O133" si="23">IF(O69&lt;=0,0,(O69-M70))</f>
        <v>33356190.476190597</v>
      </c>
    </row>
    <row r="71" spans="1:15" ht="18.600000000000001" thickBot="1" x14ac:dyDescent="0.5">
      <c r="A71" s="86"/>
      <c r="B71" s="8"/>
      <c r="C71" s="127" t="s">
        <v>2</v>
      </c>
      <c r="D71" s="128"/>
      <c r="E71" s="19">
        <f t="shared" ref="E71" si="24">IF(H73="",H65*15,H73)</f>
        <v>60</v>
      </c>
      <c r="F71" s="3"/>
      <c r="G71" s="56" t="s">
        <v>573</v>
      </c>
      <c r="H71" s="40" t="str">
        <f t="shared" si="17"/>
        <v/>
      </c>
      <c r="I71" t="s">
        <v>465</v>
      </c>
      <c r="J71">
        <v>69</v>
      </c>
      <c r="K71" s="24" t="s">
        <v>112</v>
      </c>
      <c r="L71" s="23">
        <f t="shared" si="21"/>
        <v>112829.84126984133</v>
      </c>
      <c r="M71" s="23">
        <f t="shared" si="22"/>
        <v>94761.904761904763</v>
      </c>
      <c r="N71" s="23">
        <f t="shared" ref="N71:N134" si="25">IF(O70&lt;=0,0,(O70*($H$4/100)/12))</f>
        <v>18067.936507936574</v>
      </c>
      <c r="O71" s="23">
        <f t="shared" si="23"/>
        <v>33261428.571428694</v>
      </c>
    </row>
    <row r="72" spans="1:15" ht="18.600000000000001" thickBot="1" x14ac:dyDescent="0.5">
      <c r="A72" s="86"/>
      <c r="B72" s="8"/>
      <c r="C72" s="129" t="s">
        <v>9</v>
      </c>
      <c r="D72" s="129"/>
      <c r="E72" s="19">
        <f t="shared" ref="E72" si="26">_xlfn.SWITCH(H65,1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-103.48000000000015</v>
      </c>
      <c r="F72" s="3"/>
      <c r="G72" s="34" t="s">
        <v>6</v>
      </c>
      <c r="H72" s="40" t="str">
        <f t="shared" si="17"/>
        <v/>
      </c>
      <c r="I72" t="s">
        <v>465</v>
      </c>
      <c r="J72">
        <v>70</v>
      </c>
      <c r="K72" s="24" t="s">
        <v>113</v>
      </c>
      <c r="L72" s="23">
        <f t="shared" si="21"/>
        <v>112778.51190476198</v>
      </c>
      <c r="M72" s="23">
        <f t="shared" si="22"/>
        <v>94761.904761904763</v>
      </c>
      <c r="N72" s="23">
        <f t="shared" si="25"/>
        <v>18016.60714285721</v>
      </c>
      <c r="O72" s="23">
        <f t="shared" si="23"/>
        <v>33166666.666666791</v>
      </c>
    </row>
    <row r="73" spans="1:15" ht="18.600000000000001" thickBot="1" x14ac:dyDescent="0.5">
      <c r="A73" s="86"/>
      <c r="B73" s="8"/>
      <c r="C73" s="130" t="s">
        <v>10</v>
      </c>
      <c r="D73" s="131"/>
      <c r="E73" s="49">
        <f t="shared" ref="E73" si="27">IF(H71="",$Z$3,H65*H71)</f>
        <v>0</v>
      </c>
      <c r="F73" s="3"/>
      <c r="G73" s="28" t="s">
        <v>560</v>
      </c>
      <c r="H73" s="40" t="str">
        <f t="shared" si="17"/>
        <v/>
      </c>
      <c r="I73" t="s">
        <v>465</v>
      </c>
      <c r="J73">
        <v>71</v>
      </c>
      <c r="K73" s="24" t="s">
        <v>114</v>
      </c>
      <c r="L73" s="23">
        <f t="shared" si="21"/>
        <v>112727.1825396826</v>
      </c>
      <c r="M73" s="23">
        <f t="shared" si="22"/>
        <v>94761.904761904763</v>
      </c>
      <c r="N73" s="23">
        <f t="shared" si="25"/>
        <v>17965.277777777846</v>
      </c>
      <c r="O73" s="23">
        <f t="shared" si="23"/>
        <v>33071904.761904888</v>
      </c>
    </row>
    <row r="74" spans="1:15" ht="18.600000000000001" thickBot="1" x14ac:dyDescent="0.5">
      <c r="A74" s="86"/>
      <c r="B74" s="132" t="s">
        <v>11</v>
      </c>
      <c r="C74" s="126"/>
      <c r="D74" s="126"/>
      <c r="E74" s="19">
        <f t="shared" ref="E74" si="28">SUM(E70:E73)</f>
        <v>509.06719047619049</v>
      </c>
      <c r="F74" s="3"/>
      <c r="G74" s="33" t="s">
        <v>561</v>
      </c>
      <c r="H74" s="41" t="str">
        <f t="shared" si="17"/>
        <v/>
      </c>
      <c r="I74" t="s">
        <v>465</v>
      </c>
      <c r="J74">
        <v>72</v>
      </c>
      <c r="K74" s="24" t="s">
        <v>115</v>
      </c>
      <c r="L74" s="23">
        <f t="shared" si="21"/>
        <v>112675.85317460325</v>
      </c>
      <c r="M74" s="23">
        <f t="shared" si="22"/>
        <v>94761.904761904763</v>
      </c>
      <c r="N74" s="23">
        <f t="shared" si="25"/>
        <v>17913.948412698483</v>
      </c>
      <c r="O74" s="23">
        <f t="shared" si="23"/>
        <v>32977142.857142985</v>
      </c>
    </row>
    <row r="75" spans="1:15" ht="18.600000000000001" thickBot="1" x14ac:dyDescent="0.5">
      <c r="A75" s="86"/>
      <c r="B75" s="7"/>
      <c r="C75" s="127" t="s">
        <v>12</v>
      </c>
      <c r="D75" s="128"/>
      <c r="E75" s="19">
        <f t="shared" ref="E75" si="29">_xlfn.SWITCH(H65,1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3525.1428571428655</v>
      </c>
      <c r="F75" s="3"/>
      <c r="G75" s="30"/>
      <c r="J75">
        <v>73</v>
      </c>
      <c r="K75" s="24" t="s">
        <v>116</v>
      </c>
      <c r="L75" s="23">
        <f t="shared" si="21"/>
        <v>112624.52380952387</v>
      </c>
      <c r="M75" s="23">
        <f t="shared" si="22"/>
        <v>94761.904761904763</v>
      </c>
      <c r="N75" s="23">
        <f t="shared" si="25"/>
        <v>17862.619047619119</v>
      </c>
      <c r="O75" s="23">
        <f t="shared" si="23"/>
        <v>32882380.952381082</v>
      </c>
    </row>
    <row r="76" spans="1:15" ht="18.600000000000001" thickBot="1" x14ac:dyDescent="0.5">
      <c r="A76" s="86"/>
      <c r="B76" s="8"/>
      <c r="C76" s="127" t="s">
        <v>13</v>
      </c>
      <c r="D76" s="128"/>
      <c r="E76" s="19">
        <f>IF(H74="",H70*0.05,H74)</f>
        <v>183.08000000000004</v>
      </c>
      <c r="F76" s="3"/>
      <c r="G76" s="30"/>
      <c r="J76">
        <v>74</v>
      </c>
      <c r="K76" s="24" t="s">
        <v>117</v>
      </c>
      <c r="L76" s="23">
        <f t="shared" si="21"/>
        <v>112573.19444444453</v>
      </c>
      <c r="M76" s="23">
        <f t="shared" si="22"/>
        <v>94761.904761904763</v>
      </c>
      <c r="N76" s="23">
        <f t="shared" si="25"/>
        <v>17811.289682539755</v>
      </c>
      <c r="O76" s="23">
        <f t="shared" si="23"/>
        <v>32787619.047619179</v>
      </c>
    </row>
    <row r="77" spans="1:15" ht="18.600000000000001" thickBot="1" x14ac:dyDescent="0.5">
      <c r="A77" s="86"/>
      <c r="B77" s="132" t="s">
        <v>14</v>
      </c>
      <c r="C77" s="126"/>
      <c r="D77" s="126"/>
      <c r="E77" s="19">
        <f t="shared" ref="E77" si="30">SUM(E75:E76)</f>
        <v>3708.2228571428655</v>
      </c>
      <c r="F77" s="3"/>
      <c r="G77" s="30"/>
      <c r="J77">
        <v>75</v>
      </c>
      <c r="K77" s="24" t="s">
        <v>118</v>
      </c>
      <c r="L77" s="23">
        <f t="shared" si="21"/>
        <v>112521.86507936515</v>
      </c>
      <c r="M77" s="23">
        <f t="shared" si="22"/>
        <v>94761.904761904763</v>
      </c>
      <c r="N77" s="23">
        <f t="shared" si="25"/>
        <v>17759.960317460391</v>
      </c>
      <c r="O77" s="23">
        <f t="shared" si="23"/>
        <v>32692857.142857276</v>
      </c>
    </row>
    <row r="78" spans="1:15" ht="18.600000000000001" thickBot="1" x14ac:dyDescent="0.5">
      <c r="A78" s="97" t="s">
        <v>15</v>
      </c>
      <c r="B78" s="98"/>
      <c r="C78" s="98"/>
      <c r="D78" s="99"/>
      <c r="E78" s="20">
        <f t="shared" ref="E78" si="31">E69+E74+E77</f>
        <v>4456.0900476190563</v>
      </c>
      <c r="F78" s="3"/>
      <c r="J78">
        <v>76</v>
      </c>
      <c r="K78" s="24" t="s">
        <v>119</v>
      </c>
      <c r="L78" s="23">
        <f t="shared" si="21"/>
        <v>112470.5357142858</v>
      </c>
      <c r="M78" s="23">
        <f t="shared" si="22"/>
        <v>94761.904761904763</v>
      </c>
      <c r="N78" s="23">
        <f t="shared" si="25"/>
        <v>17708.630952381027</v>
      </c>
      <c r="O78" s="23">
        <f t="shared" si="23"/>
        <v>32598095.238095373</v>
      </c>
    </row>
    <row r="79" spans="1:15" ht="18.600000000000001" thickBot="1" x14ac:dyDescent="0.5">
      <c r="A79" s="6"/>
      <c r="B79" s="126" t="s">
        <v>16</v>
      </c>
      <c r="C79" s="126"/>
      <c r="D79" s="126"/>
      <c r="E79" s="19">
        <f t="shared" ref="E79" si="32">H70</f>
        <v>3661.6000000000008</v>
      </c>
      <c r="F79" s="3"/>
      <c r="J79">
        <v>77</v>
      </c>
      <c r="K79" s="24" t="s">
        <v>120</v>
      </c>
      <c r="L79" s="23">
        <f t="shared" si="21"/>
        <v>112419.20634920642</v>
      </c>
      <c r="M79" s="23">
        <f t="shared" si="22"/>
        <v>94761.904761904763</v>
      </c>
      <c r="N79" s="23">
        <f t="shared" si="25"/>
        <v>17657.301587301663</v>
      </c>
      <c r="O79" s="23">
        <f t="shared" si="23"/>
        <v>32503333.33333347</v>
      </c>
    </row>
    <row r="80" spans="1:15" ht="18.600000000000001" thickBot="1" x14ac:dyDescent="0.5">
      <c r="A80" s="97" t="s">
        <v>17</v>
      </c>
      <c r="B80" s="98"/>
      <c r="C80" s="98"/>
      <c r="D80" s="99"/>
      <c r="E80" s="20">
        <f t="shared" ref="E80" si="33">E79</f>
        <v>3661.6000000000008</v>
      </c>
      <c r="F80" s="3"/>
      <c r="J80">
        <v>78</v>
      </c>
      <c r="K80" s="24" t="s">
        <v>121</v>
      </c>
      <c r="L80" s="23">
        <f t="shared" si="21"/>
        <v>112367.87698412706</v>
      </c>
      <c r="M80" s="23">
        <f t="shared" si="22"/>
        <v>94761.904761904763</v>
      </c>
      <c r="N80" s="23">
        <f t="shared" si="25"/>
        <v>17605.972222222295</v>
      </c>
      <c r="O80" s="23">
        <f t="shared" si="23"/>
        <v>32408571.428571567</v>
      </c>
    </row>
    <row r="81" spans="1:15" ht="18.600000000000001" thickBot="1" x14ac:dyDescent="0.5">
      <c r="A81" s="96" t="s">
        <v>18</v>
      </c>
      <c r="B81" s="96"/>
      <c r="C81" s="96"/>
      <c r="D81" s="96"/>
      <c r="E81" s="14">
        <f t="shared" ref="E81" si="34">12*H65</f>
        <v>48</v>
      </c>
      <c r="F81" s="3"/>
      <c r="J81">
        <v>79</v>
      </c>
      <c r="K81" s="24" t="s">
        <v>122</v>
      </c>
      <c r="L81" s="23">
        <f t="shared" si="21"/>
        <v>112316.54761904769</v>
      </c>
      <c r="M81" s="23">
        <f t="shared" si="22"/>
        <v>94761.904761904763</v>
      </c>
      <c r="N81" s="23">
        <f t="shared" si="25"/>
        <v>17554.642857142931</v>
      </c>
      <c r="O81" s="23">
        <f t="shared" si="23"/>
        <v>32313809.523809664</v>
      </c>
    </row>
    <row r="82" spans="1:15" ht="18.600000000000001" thickBot="1" x14ac:dyDescent="0.5">
      <c r="A82" s="3"/>
      <c r="B82" s="3"/>
      <c r="C82" s="3"/>
      <c r="D82" s="3"/>
      <c r="E82" s="3"/>
      <c r="F82" s="3"/>
      <c r="J82">
        <v>80</v>
      </c>
      <c r="K82" s="24" t="s">
        <v>123</v>
      </c>
      <c r="L82" s="23">
        <f t="shared" si="21"/>
        <v>112265.21825396833</v>
      </c>
      <c r="M82" s="23">
        <f t="shared" si="22"/>
        <v>94761.904761904763</v>
      </c>
      <c r="N82" s="23">
        <f t="shared" si="25"/>
        <v>17503.313492063568</v>
      </c>
      <c r="O82" s="23">
        <f t="shared" si="23"/>
        <v>32219047.619047761</v>
      </c>
    </row>
    <row r="83" spans="1:15" ht="18.600000000000001" thickBot="1" x14ac:dyDescent="0.5">
      <c r="A83" s="12" t="s">
        <v>19</v>
      </c>
      <c r="B83" s="12"/>
      <c r="C83" s="12"/>
      <c r="D83" s="12"/>
      <c r="E83" s="15">
        <f t="shared" ref="E83" si="35">-((E80-E78)/E81)</f>
        <v>16.551875992063657</v>
      </c>
      <c r="F83" s="3" t="s">
        <v>20</v>
      </c>
      <c r="J83">
        <v>81</v>
      </c>
      <c r="K83" s="24" t="s">
        <v>124</v>
      </c>
      <c r="L83" s="23">
        <f t="shared" si="21"/>
        <v>112213.88888888896</v>
      </c>
      <c r="M83" s="23">
        <f t="shared" si="22"/>
        <v>94761.904761904763</v>
      </c>
      <c r="N83" s="23">
        <f t="shared" si="25"/>
        <v>17451.984126984204</v>
      </c>
      <c r="O83" s="23">
        <f t="shared" si="23"/>
        <v>32124285.714285858</v>
      </c>
    </row>
    <row r="84" spans="1:15" x14ac:dyDescent="0.45">
      <c r="A84" s="3"/>
      <c r="B84" s="3"/>
      <c r="C84" s="3"/>
      <c r="D84" s="3"/>
      <c r="E84" s="3"/>
      <c r="F84" s="3"/>
      <c r="J84">
        <v>82</v>
      </c>
      <c r="K84" s="24" t="s">
        <v>125</v>
      </c>
      <c r="L84" s="23">
        <f t="shared" si="21"/>
        <v>112162.5595238096</v>
      </c>
      <c r="M84" s="23">
        <f t="shared" si="22"/>
        <v>94761.904761904763</v>
      </c>
      <c r="N84" s="23">
        <f t="shared" si="25"/>
        <v>17400.65476190484</v>
      </c>
      <c r="O84" s="23">
        <f t="shared" si="23"/>
        <v>32029523.809523955</v>
      </c>
    </row>
    <row r="85" spans="1:15" ht="18.600000000000001" thickBot="1" x14ac:dyDescent="0.5">
      <c r="A85" s="3"/>
      <c r="B85" s="3"/>
      <c r="D85" s="3"/>
      <c r="E85" s="3"/>
      <c r="F85" s="3"/>
      <c r="J85">
        <v>83</v>
      </c>
      <c r="K85" s="24" t="s">
        <v>126</v>
      </c>
      <c r="L85" s="23">
        <f t="shared" si="21"/>
        <v>112111.23015873024</v>
      </c>
      <c r="M85" s="23">
        <f t="shared" si="22"/>
        <v>94761.904761904763</v>
      </c>
      <c r="N85" s="23">
        <f t="shared" si="25"/>
        <v>17349.325396825476</v>
      </c>
      <c r="O85" s="23">
        <f t="shared" si="23"/>
        <v>31934761.904762052</v>
      </c>
    </row>
    <row r="86" spans="1:15" ht="18.600000000000001" thickBot="1" x14ac:dyDescent="0.5">
      <c r="A86" s="10" t="s">
        <v>4</v>
      </c>
      <c r="B86" s="3"/>
      <c r="C86" s="3"/>
      <c r="D86" s="3"/>
      <c r="E86" s="4" t="s">
        <v>1</v>
      </c>
      <c r="F86" s="4"/>
      <c r="G86" s="38" t="s">
        <v>508</v>
      </c>
      <c r="H86" s="42">
        <f t="shared" ref="H86" si="36">H65+1</f>
        <v>5</v>
      </c>
      <c r="I86" t="s">
        <v>509</v>
      </c>
      <c r="J86">
        <v>84</v>
      </c>
      <c r="K86" s="24" t="s">
        <v>127</v>
      </c>
      <c r="L86" s="23">
        <f t="shared" si="21"/>
        <v>112059.90079365087</v>
      </c>
      <c r="M86" s="23">
        <f t="shared" si="22"/>
        <v>94761.904761904763</v>
      </c>
      <c r="N86" s="23">
        <f t="shared" si="25"/>
        <v>17297.996031746112</v>
      </c>
      <c r="O86" s="23">
        <f t="shared" si="23"/>
        <v>31840000.000000149</v>
      </c>
    </row>
    <row r="87" spans="1:15" ht="18.600000000000001" thickBot="1" x14ac:dyDescent="0.5">
      <c r="A87" s="133" t="s">
        <v>5</v>
      </c>
      <c r="B87" s="133"/>
      <c r="C87" s="133"/>
      <c r="D87" s="133"/>
      <c r="E87" s="11" t="s">
        <v>0</v>
      </c>
      <c r="F87" s="3"/>
      <c r="G87" s="36" t="s">
        <v>464</v>
      </c>
      <c r="H87" s="37">
        <f t="shared" ref="H87:H137" si="37">H66</f>
        <v>3980</v>
      </c>
      <c r="I87" t="s">
        <v>465</v>
      </c>
      <c r="J87">
        <v>85</v>
      </c>
      <c r="K87" s="24" t="s">
        <v>128</v>
      </c>
      <c r="L87" s="23">
        <f t="shared" si="21"/>
        <v>112008.57142857151</v>
      </c>
      <c r="M87" s="23">
        <f t="shared" si="22"/>
        <v>94761.904761904763</v>
      </c>
      <c r="N87" s="23">
        <f t="shared" si="25"/>
        <v>17246.666666666748</v>
      </c>
      <c r="O87" s="23">
        <f t="shared" si="23"/>
        <v>31745238.095238246</v>
      </c>
    </row>
    <row r="88" spans="1:15" ht="18.600000000000001" thickBot="1" x14ac:dyDescent="0.5">
      <c r="A88" s="85"/>
      <c r="B88" s="87"/>
      <c r="C88" s="127" t="s">
        <v>3</v>
      </c>
      <c r="D88" s="128"/>
      <c r="E88" s="29">
        <f t="shared" ref="E88" si="38">IF(H90="",0,H90)</f>
        <v>0</v>
      </c>
      <c r="F88" s="3"/>
      <c r="G88" s="25" t="s">
        <v>466</v>
      </c>
      <c r="H88" s="43">
        <f t="shared" si="37"/>
        <v>0.65</v>
      </c>
      <c r="I88" t="s">
        <v>469</v>
      </c>
      <c r="J88">
        <v>86</v>
      </c>
      <c r="K88" s="24" t="s">
        <v>129</v>
      </c>
      <c r="L88" s="23">
        <f t="shared" si="21"/>
        <v>111957.24206349214</v>
      </c>
      <c r="M88" s="23">
        <f t="shared" si="22"/>
        <v>94761.904761904763</v>
      </c>
      <c r="N88" s="23">
        <f t="shared" si="25"/>
        <v>17195.337301587384</v>
      </c>
      <c r="O88" s="23">
        <f t="shared" si="23"/>
        <v>31650476.190476343</v>
      </c>
    </row>
    <row r="89" spans="1:15" ht="18.600000000000001" thickBot="1" x14ac:dyDescent="0.5">
      <c r="A89" s="86"/>
      <c r="B89" s="88"/>
      <c r="C89" s="127" t="s">
        <v>6</v>
      </c>
      <c r="D89" s="128"/>
      <c r="E89" s="19">
        <f>IF(H93="",$H$7*0.06,H93)</f>
        <v>238.79999999999998</v>
      </c>
      <c r="F89" s="3"/>
      <c r="G89" s="25" t="s">
        <v>467</v>
      </c>
      <c r="H89" s="37">
        <f t="shared" si="37"/>
        <v>35</v>
      </c>
      <c r="I89" t="s">
        <v>468</v>
      </c>
      <c r="J89">
        <v>87</v>
      </c>
      <c r="K89" s="24" t="s">
        <v>130</v>
      </c>
      <c r="L89" s="23">
        <f t="shared" si="21"/>
        <v>111905.91269841278</v>
      </c>
      <c r="M89" s="23">
        <f t="shared" si="22"/>
        <v>94761.904761904763</v>
      </c>
      <c r="N89" s="23">
        <f t="shared" si="25"/>
        <v>17144.00793650802</v>
      </c>
      <c r="O89" s="23">
        <f t="shared" si="23"/>
        <v>31555714.28571444</v>
      </c>
    </row>
    <row r="90" spans="1:15" ht="18.600000000000001" thickBot="1" x14ac:dyDescent="0.5">
      <c r="A90" s="86"/>
      <c r="B90" s="91" t="s">
        <v>7</v>
      </c>
      <c r="C90" s="92"/>
      <c r="D90" s="92"/>
      <c r="E90" s="19">
        <f t="shared" ref="E90" si="39">SUM(E88:E89)</f>
        <v>238.79999999999998</v>
      </c>
      <c r="F90" s="3"/>
      <c r="G90" s="28" t="s">
        <v>3</v>
      </c>
      <c r="H90" s="37">
        <f t="shared" si="37"/>
        <v>0</v>
      </c>
      <c r="I90" t="s">
        <v>465</v>
      </c>
      <c r="J90">
        <v>88</v>
      </c>
      <c r="K90" s="24" t="s">
        <v>131</v>
      </c>
      <c r="L90" s="23">
        <f t="shared" si="21"/>
        <v>111854.58333333342</v>
      </c>
      <c r="M90" s="23">
        <f t="shared" si="22"/>
        <v>94761.904761904763</v>
      </c>
      <c r="N90" s="23">
        <f t="shared" si="25"/>
        <v>17092.678571428656</v>
      </c>
      <c r="O90" s="23">
        <f t="shared" si="23"/>
        <v>31460952.380952537</v>
      </c>
    </row>
    <row r="91" spans="1:15" ht="18.600000000000001" thickBot="1" x14ac:dyDescent="0.5">
      <c r="A91" s="86"/>
      <c r="B91" s="7"/>
      <c r="C91" s="5" t="s">
        <v>8</v>
      </c>
      <c r="D91" s="5"/>
      <c r="E91" s="49">
        <f t="shared" ref="E91" si="40">_xlfn.SWITCH(H86,1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688.83613095238104</v>
      </c>
      <c r="F91" s="3"/>
      <c r="G91" s="28" t="s">
        <v>16</v>
      </c>
      <c r="H91" s="37">
        <f>真実の家賃!$I$8*AD7</f>
        <v>3555.4666666666676</v>
      </c>
      <c r="I91" t="s">
        <v>465</v>
      </c>
      <c r="J91">
        <v>89</v>
      </c>
      <c r="K91" s="24" t="s">
        <v>132</v>
      </c>
      <c r="L91" s="23">
        <f t="shared" si="21"/>
        <v>111803.25396825405</v>
      </c>
      <c r="M91" s="23">
        <f t="shared" si="22"/>
        <v>94761.904761904763</v>
      </c>
      <c r="N91" s="23">
        <f t="shared" si="25"/>
        <v>17041.349206349292</v>
      </c>
      <c r="O91" s="23">
        <f t="shared" si="23"/>
        <v>31366190.476190634</v>
      </c>
    </row>
    <row r="92" spans="1:15" ht="18.600000000000001" thickBot="1" x14ac:dyDescent="0.5">
      <c r="A92" s="86"/>
      <c r="B92" s="8"/>
      <c r="C92" s="127" t="s">
        <v>2</v>
      </c>
      <c r="D92" s="128"/>
      <c r="E92" s="19">
        <f t="shared" ref="E92" si="41">IF(H94="",H86*15,H94)</f>
        <v>75</v>
      </c>
      <c r="F92" s="3"/>
      <c r="G92" s="56" t="s">
        <v>573</v>
      </c>
      <c r="H92" s="40" t="str">
        <f t="shared" si="37"/>
        <v/>
      </c>
      <c r="I92" t="s">
        <v>465</v>
      </c>
      <c r="J92">
        <v>90</v>
      </c>
      <c r="K92" s="24" t="s">
        <v>133</v>
      </c>
      <c r="L92" s="23">
        <f t="shared" si="21"/>
        <v>111751.92460317469</v>
      </c>
      <c r="M92" s="23">
        <f t="shared" si="22"/>
        <v>94761.904761904763</v>
      </c>
      <c r="N92" s="23">
        <f t="shared" si="25"/>
        <v>16990.019841269928</v>
      </c>
      <c r="O92" s="23">
        <f t="shared" si="23"/>
        <v>31271428.571428731</v>
      </c>
    </row>
    <row r="93" spans="1:15" ht="18.600000000000001" thickBot="1" x14ac:dyDescent="0.5">
      <c r="A93" s="86"/>
      <c r="B93" s="8"/>
      <c r="C93" s="129" t="s">
        <v>9</v>
      </c>
      <c r="D93" s="129"/>
      <c r="E93" s="19">
        <f t="shared" ref="E93" si="42">_xlfn.SWITCH(H86,1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-127.36000000000023</v>
      </c>
      <c r="F93" s="3"/>
      <c r="G93" s="34" t="s">
        <v>6</v>
      </c>
      <c r="H93" s="40" t="str">
        <f t="shared" si="37"/>
        <v/>
      </c>
      <c r="I93" t="s">
        <v>465</v>
      </c>
      <c r="J93">
        <v>91</v>
      </c>
      <c r="K93" s="24" t="s">
        <v>134</v>
      </c>
      <c r="L93" s="23">
        <f t="shared" si="21"/>
        <v>111700.59523809532</v>
      </c>
      <c r="M93" s="23">
        <f t="shared" si="22"/>
        <v>94761.904761904763</v>
      </c>
      <c r="N93" s="23">
        <f t="shared" si="25"/>
        <v>16938.690476190564</v>
      </c>
      <c r="O93" s="23">
        <f t="shared" si="23"/>
        <v>31176666.666666828</v>
      </c>
    </row>
    <row r="94" spans="1:15" ht="18.600000000000001" thickBot="1" x14ac:dyDescent="0.5">
      <c r="A94" s="86"/>
      <c r="B94" s="8"/>
      <c r="C94" s="130" t="s">
        <v>10</v>
      </c>
      <c r="D94" s="131"/>
      <c r="E94" s="49">
        <f t="shared" ref="E94" si="43">IF(H92="",$Z$3,H86*H92)</f>
        <v>0</v>
      </c>
      <c r="F94" s="3"/>
      <c r="G94" s="28" t="s">
        <v>560</v>
      </c>
      <c r="H94" s="40" t="str">
        <f t="shared" si="37"/>
        <v/>
      </c>
      <c r="I94" t="s">
        <v>465</v>
      </c>
      <c r="J94">
        <v>92</v>
      </c>
      <c r="K94" s="24" t="s">
        <v>135</v>
      </c>
      <c r="L94" s="23">
        <f t="shared" si="21"/>
        <v>111649.26587301596</v>
      </c>
      <c r="M94" s="23">
        <f t="shared" si="22"/>
        <v>94761.904761904763</v>
      </c>
      <c r="N94" s="23">
        <f t="shared" si="25"/>
        <v>16887.3611111112</v>
      </c>
      <c r="O94" s="23">
        <f t="shared" si="23"/>
        <v>31081904.761904925</v>
      </c>
    </row>
    <row r="95" spans="1:15" ht="18.600000000000001" thickBot="1" x14ac:dyDescent="0.5">
      <c r="A95" s="86"/>
      <c r="B95" s="132" t="s">
        <v>11</v>
      </c>
      <c r="C95" s="126"/>
      <c r="D95" s="126"/>
      <c r="E95" s="19">
        <f t="shared" ref="E95" si="44">SUM(E91:E94)</f>
        <v>636.4761309523808</v>
      </c>
      <c r="F95" s="3"/>
      <c r="G95" s="33" t="s">
        <v>561</v>
      </c>
      <c r="H95" s="41" t="str">
        <f t="shared" si="37"/>
        <v/>
      </c>
      <c r="I95" t="s">
        <v>465</v>
      </c>
      <c r="J95">
        <v>93</v>
      </c>
      <c r="K95" s="24" t="s">
        <v>136</v>
      </c>
      <c r="L95" s="23">
        <f t="shared" si="21"/>
        <v>111597.9365079366</v>
      </c>
      <c r="M95" s="23">
        <f t="shared" si="22"/>
        <v>94761.904761904763</v>
      </c>
      <c r="N95" s="23">
        <f t="shared" si="25"/>
        <v>16836.031746031837</v>
      </c>
      <c r="O95" s="23">
        <f t="shared" si="23"/>
        <v>30987142.857143022</v>
      </c>
    </row>
    <row r="96" spans="1:15" ht="18.600000000000001" thickBot="1" x14ac:dyDescent="0.5">
      <c r="A96" s="86"/>
      <c r="B96" s="7"/>
      <c r="C96" s="127" t="s">
        <v>12</v>
      </c>
      <c r="D96" s="128"/>
      <c r="E96" s="19">
        <f t="shared" ref="E96" si="45">_xlfn.SWITCH(H86,1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3411.428571428582</v>
      </c>
      <c r="F96" s="3"/>
      <c r="G96" s="30"/>
      <c r="J96">
        <v>94</v>
      </c>
      <c r="K96" s="24" t="s">
        <v>137</v>
      </c>
      <c r="L96" s="23">
        <f t="shared" si="21"/>
        <v>111546.60714285723</v>
      </c>
      <c r="M96" s="23">
        <f t="shared" si="22"/>
        <v>94761.904761904763</v>
      </c>
      <c r="N96" s="23">
        <f t="shared" si="25"/>
        <v>16784.702380952473</v>
      </c>
      <c r="O96" s="23">
        <f t="shared" si="23"/>
        <v>30892380.952381119</v>
      </c>
    </row>
    <row r="97" spans="1:15" ht="18.600000000000001" thickBot="1" x14ac:dyDescent="0.5">
      <c r="A97" s="86"/>
      <c r="B97" s="8"/>
      <c r="C97" s="127" t="s">
        <v>13</v>
      </c>
      <c r="D97" s="128"/>
      <c r="E97" s="19">
        <f>IF(H95="",H91*0.05,H95)</f>
        <v>177.7733333333334</v>
      </c>
      <c r="F97" s="3"/>
      <c r="G97" s="30"/>
      <c r="J97">
        <v>95</v>
      </c>
      <c r="K97" s="24" t="s">
        <v>138</v>
      </c>
      <c r="L97" s="23">
        <f t="shared" si="21"/>
        <v>111495.27777777787</v>
      </c>
      <c r="M97" s="23">
        <f t="shared" si="22"/>
        <v>94761.904761904763</v>
      </c>
      <c r="N97" s="23">
        <f t="shared" si="25"/>
        <v>16733.373015873109</v>
      </c>
      <c r="O97" s="23">
        <f t="shared" si="23"/>
        <v>30797619.047619216</v>
      </c>
    </row>
    <row r="98" spans="1:15" ht="18.600000000000001" thickBot="1" x14ac:dyDescent="0.5">
      <c r="A98" s="86"/>
      <c r="B98" s="132" t="s">
        <v>14</v>
      </c>
      <c r="C98" s="126"/>
      <c r="D98" s="126"/>
      <c r="E98" s="19">
        <f t="shared" ref="E98" si="46">SUM(E96:E97)</f>
        <v>3589.2019047619156</v>
      </c>
      <c r="F98" s="3"/>
      <c r="G98" s="30"/>
      <c r="J98">
        <v>96</v>
      </c>
      <c r="K98" s="24" t="s">
        <v>139</v>
      </c>
      <c r="L98" s="23">
        <f t="shared" si="21"/>
        <v>111443.9484126985</v>
      </c>
      <c r="M98" s="23">
        <f t="shared" si="22"/>
        <v>94761.904761904763</v>
      </c>
      <c r="N98" s="23">
        <f t="shared" si="25"/>
        <v>16682.043650793745</v>
      </c>
      <c r="O98" s="23">
        <f t="shared" si="23"/>
        <v>30702857.142857313</v>
      </c>
    </row>
    <row r="99" spans="1:15" ht="18.600000000000001" thickBot="1" x14ac:dyDescent="0.5">
      <c r="A99" s="97" t="s">
        <v>15</v>
      </c>
      <c r="B99" s="98"/>
      <c r="C99" s="98"/>
      <c r="D99" s="99"/>
      <c r="E99" s="20">
        <f t="shared" ref="E99" si="47">E90+E95+E98</f>
        <v>4464.4780357142963</v>
      </c>
      <c r="F99" s="3"/>
      <c r="J99">
        <v>97</v>
      </c>
      <c r="K99" s="24" t="s">
        <v>140</v>
      </c>
      <c r="L99" s="23">
        <f t="shared" si="21"/>
        <v>111392.61904761914</v>
      </c>
      <c r="M99" s="23">
        <f t="shared" si="22"/>
        <v>94761.904761904763</v>
      </c>
      <c r="N99" s="23">
        <f t="shared" si="25"/>
        <v>16630.714285714381</v>
      </c>
      <c r="O99" s="23">
        <f t="shared" si="23"/>
        <v>30608095.23809541</v>
      </c>
    </row>
    <row r="100" spans="1:15" ht="18.600000000000001" thickBot="1" x14ac:dyDescent="0.5">
      <c r="A100" s="6"/>
      <c r="B100" s="126" t="s">
        <v>16</v>
      </c>
      <c r="C100" s="126"/>
      <c r="D100" s="126"/>
      <c r="E100" s="19">
        <f t="shared" ref="E100" si="48">H91</f>
        <v>3555.4666666666676</v>
      </c>
      <c r="F100" s="3"/>
      <c r="J100">
        <v>98</v>
      </c>
      <c r="K100" s="24" t="s">
        <v>141</v>
      </c>
      <c r="L100" s="23">
        <f t="shared" si="21"/>
        <v>111341.28968253978</v>
      </c>
      <c r="M100" s="23">
        <f t="shared" si="22"/>
        <v>94761.904761904763</v>
      </c>
      <c r="N100" s="23">
        <f t="shared" si="25"/>
        <v>16579.384920635017</v>
      </c>
      <c r="O100" s="23">
        <f t="shared" si="23"/>
        <v>30513333.333333507</v>
      </c>
    </row>
    <row r="101" spans="1:15" ht="18.600000000000001" thickBot="1" x14ac:dyDescent="0.5">
      <c r="A101" s="97" t="s">
        <v>17</v>
      </c>
      <c r="B101" s="98"/>
      <c r="C101" s="98"/>
      <c r="D101" s="99"/>
      <c r="E101" s="20">
        <f t="shared" ref="E101" si="49">E100</f>
        <v>3555.4666666666676</v>
      </c>
      <c r="F101" s="3"/>
      <c r="J101">
        <v>99</v>
      </c>
      <c r="K101" s="24" t="s">
        <v>142</v>
      </c>
      <c r="L101" s="23">
        <f t="shared" si="21"/>
        <v>111289.96031746041</v>
      </c>
      <c r="M101" s="23">
        <f t="shared" si="22"/>
        <v>94761.904761904763</v>
      </c>
      <c r="N101" s="23">
        <f t="shared" si="25"/>
        <v>16528.055555555653</v>
      </c>
      <c r="O101" s="23">
        <f t="shared" si="23"/>
        <v>30418571.428571604</v>
      </c>
    </row>
    <row r="102" spans="1:15" ht="18.600000000000001" thickBot="1" x14ac:dyDescent="0.5">
      <c r="A102" s="96" t="s">
        <v>18</v>
      </c>
      <c r="B102" s="96"/>
      <c r="C102" s="96"/>
      <c r="D102" s="96"/>
      <c r="E102" s="14">
        <f t="shared" ref="E102" si="50">12*H86</f>
        <v>60</v>
      </c>
      <c r="F102" s="3"/>
      <c r="J102">
        <v>100</v>
      </c>
      <c r="K102" s="24" t="s">
        <v>143</v>
      </c>
      <c r="L102" s="23">
        <f t="shared" si="21"/>
        <v>111238.63095238105</v>
      </c>
      <c r="M102" s="23">
        <f t="shared" si="22"/>
        <v>94761.904761904763</v>
      </c>
      <c r="N102" s="23">
        <f t="shared" si="25"/>
        <v>16476.726190476289</v>
      </c>
      <c r="O102" s="23">
        <f t="shared" si="23"/>
        <v>30323809.523809701</v>
      </c>
    </row>
    <row r="103" spans="1:15" ht="18.600000000000001" thickBot="1" x14ac:dyDescent="0.5">
      <c r="A103" s="3"/>
      <c r="B103" s="3"/>
      <c r="C103" s="3"/>
      <c r="D103" s="3"/>
      <c r="E103" s="3"/>
      <c r="F103" s="3"/>
      <c r="J103">
        <v>101</v>
      </c>
      <c r="K103" s="24" t="s">
        <v>144</v>
      </c>
      <c r="L103" s="23">
        <f t="shared" si="21"/>
        <v>111187.30158730168</v>
      </c>
      <c r="M103" s="23">
        <f t="shared" si="22"/>
        <v>94761.904761904763</v>
      </c>
      <c r="N103" s="23">
        <f t="shared" si="25"/>
        <v>16425.396825396925</v>
      </c>
      <c r="O103" s="23">
        <f t="shared" si="23"/>
        <v>30229047.619047798</v>
      </c>
    </row>
    <row r="104" spans="1:15" ht="18.600000000000001" thickBot="1" x14ac:dyDescent="0.5">
      <c r="A104" s="12" t="s">
        <v>19</v>
      </c>
      <c r="B104" s="12"/>
      <c r="C104" s="12"/>
      <c r="D104" s="12"/>
      <c r="E104" s="15">
        <f t="shared" ref="E104" si="51">-((E101-E99)/E102)</f>
        <v>15.150189484127145</v>
      </c>
      <c r="F104" s="3" t="s">
        <v>20</v>
      </c>
      <c r="J104">
        <v>102</v>
      </c>
      <c r="K104" s="24" t="s">
        <v>145</v>
      </c>
      <c r="L104" s="23">
        <f t="shared" si="21"/>
        <v>111135.97222222232</v>
      </c>
      <c r="M104" s="23">
        <f t="shared" si="22"/>
        <v>94761.904761904763</v>
      </c>
      <c r="N104" s="23">
        <f t="shared" si="25"/>
        <v>16374.067460317559</v>
      </c>
      <c r="O104" s="23">
        <f t="shared" si="23"/>
        <v>30134285.714285895</v>
      </c>
    </row>
    <row r="105" spans="1:15" x14ac:dyDescent="0.45">
      <c r="A105" s="3"/>
      <c r="B105" s="3"/>
      <c r="C105" s="3"/>
      <c r="D105" s="3"/>
      <c r="E105" s="3"/>
      <c r="F105" s="3"/>
      <c r="J105">
        <v>103</v>
      </c>
      <c r="K105" s="24" t="s">
        <v>146</v>
      </c>
      <c r="L105" s="23">
        <f t="shared" si="21"/>
        <v>111084.64285714296</v>
      </c>
      <c r="M105" s="23">
        <f t="shared" si="22"/>
        <v>94761.904761904763</v>
      </c>
      <c r="N105" s="23">
        <f t="shared" si="25"/>
        <v>16322.738095238194</v>
      </c>
      <c r="O105" s="23">
        <f t="shared" si="23"/>
        <v>30039523.809523992</v>
      </c>
    </row>
    <row r="106" spans="1:15" ht="18.600000000000001" thickBot="1" x14ac:dyDescent="0.5">
      <c r="A106" s="3"/>
      <c r="B106" s="3"/>
      <c r="D106" s="3"/>
      <c r="E106" s="3"/>
      <c r="F106" s="3"/>
      <c r="J106">
        <v>104</v>
      </c>
      <c r="K106" s="24" t="s">
        <v>147</v>
      </c>
      <c r="L106" s="23">
        <f t="shared" si="21"/>
        <v>111033.31349206359</v>
      </c>
      <c r="M106" s="23">
        <f t="shared" si="22"/>
        <v>94761.904761904763</v>
      </c>
      <c r="N106" s="23">
        <f t="shared" si="25"/>
        <v>16271.40873015883</v>
      </c>
      <c r="O106" s="23">
        <f t="shared" si="23"/>
        <v>29944761.904762089</v>
      </c>
    </row>
    <row r="107" spans="1:15" ht="18.600000000000001" thickBot="1" x14ac:dyDescent="0.5">
      <c r="A107" s="10" t="s">
        <v>4</v>
      </c>
      <c r="B107" s="3"/>
      <c r="C107" s="3"/>
      <c r="D107" s="3"/>
      <c r="E107" s="4" t="s">
        <v>1</v>
      </c>
      <c r="F107" s="4"/>
      <c r="G107" s="38" t="s">
        <v>508</v>
      </c>
      <c r="H107" s="42">
        <f t="shared" ref="H107" si="52">H86+1</f>
        <v>6</v>
      </c>
      <c r="I107" t="s">
        <v>509</v>
      </c>
      <c r="J107">
        <v>105</v>
      </c>
      <c r="K107" s="24" t="s">
        <v>148</v>
      </c>
      <c r="L107" s="23">
        <f t="shared" si="21"/>
        <v>110981.98412698423</v>
      </c>
      <c r="M107" s="23">
        <f t="shared" si="22"/>
        <v>94761.904761904763</v>
      </c>
      <c r="N107" s="23">
        <f t="shared" si="25"/>
        <v>16220.079365079466</v>
      </c>
      <c r="O107" s="23">
        <f t="shared" si="23"/>
        <v>29850000.000000186</v>
      </c>
    </row>
    <row r="108" spans="1:15" ht="18.600000000000001" thickBot="1" x14ac:dyDescent="0.5">
      <c r="A108" s="133" t="s">
        <v>5</v>
      </c>
      <c r="B108" s="133"/>
      <c r="C108" s="133"/>
      <c r="D108" s="133"/>
      <c r="E108" s="11" t="s">
        <v>0</v>
      </c>
      <c r="F108" s="3"/>
      <c r="G108" s="36" t="s">
        <v>464</v>
      </c>
      <c r="H108" s="37">
        <f t="shared" ref="H108:H113" si="53">H87</f>
        <v>3980</v>
      </c>
      <c r="I108" t="s">
        <v>465</v>
      </c>
      <c r="J108">
        <v>106</v>
      </c>
      <c r="K108" s="24" t="s">
        <v>149</v>
      </c>
      <c r="L108" s="23">
        <f t="shared" si="21"/>
        <v>110930.65476190487</v>
      </c>
      <c r="M108" s="23">
        <f t="shared" si="22"/>
        <v>94761.904761904763</v>
      </c>
      <c r="N108" s="23">
        <f t="shared" si="25"/>
        <v>16168.750000000102</v>
      </c>
      <c r="O108" s="23">
        <f t="shared" si="23"/>
        <v>29755238.095238283</v>
      </c>
    </row>
    <row r="109" spans="1:15" ht="18.600000000000001" thickBot="1" x14ac:dyDescent="0.5">
      <c r="A109" s="85"/>
      <c r="B109" s="87"/>
      <c r="C109" s="127" t="s">
        <v>3</v>
      </c>
      <c r="D109" s="128"/>
      <c r="E109" s="29">
        <f t="shared" ref="E109" si="54">IF(H111="",0,H111)</f>
        <v>0</v>
      </c>
      <c r="F109" s="3"/>
      <c r="G109" s="25" t="s">
        <v>466</v>
      </c>
      <c r="H109" s="43">
        <f t="shared" si="53"/>
        <v>0.65</v>
      </c>
      <c r="I109" t="s">
        <v>469</v>
      </c>
      <c r="J109">
        <v>107</v>
      </c>
      <c r="K109" s="24" t="s">
        <v>150</v>
      </c>
      <c r="L109" s="23">
        <f t="shared" si="21"/>
        <v>110879.3253968255</v>
      </c>
      <c r="M109" s="23">
        <f t="shared" si="22"/>
        <v>94761.904761904763</v>
      </c>
      <c r="N109" s="23">
        <f t="shared" si="25"/>
        <v>16117.420634920738</v>
      </c>
      <c r="O109" s="23">
        <f t="shared" si="23"/>
        <v>29660476.19047638</v>
      </c>
    </row>
    <row r="110" spans="1:15" ht="18.600000000000001" thickBot="1" x14ac:dyDescent="0.5">
      <c r="A110" s="86"/>
      <c r="B110" s="88"/>
      <c r="C110" s="127" t="s">
        <v>6</v>
      </c>
      <c r="D110" s="128"/>
      <c r="E110" s="19">
        <f>IF(H114="",$H$7*0.06,H114)</f>
        <v>238.79999999999998</v>
      </c>
      <c r="F110" s="3"/>
      <c r="G110" s="25" t="s">
        <v>467</v>
      </c>
      <c r="H110" s="37">
        <f t="shared" si="53"/>
        <v>35</v>
      </c>
      <c r="I110" t="s">
        <v>468</v>
      </c>
      <c r="J110">
        <v>108</v>
      </c>
      <c r="K110" s="24" t="s">
        <v>151</v>
      </c>
      <c r="L110" s="23">
        <f t="shared" si="21"/>
        <v>110827.99603174614</v>
      </c>
      <c r="M110" s="23">
        <f t="shared" si="22"/>
        <v>94761.904761904763</v>
      </c>
      <c r="N110" s="23">
        <f t="shared" si="25"/>
        <v>16066.091269841374</v>
      </c>
      <c r="O110" s="23">
        <f t="shared" si="23"/>
        <v>29565714.285714477</v>
      </c>
    </row>
    <row r="111" spans="1:15" ht="18.600000000000001" thickBot="1" x14ac:dyDescent="0.5">
      <c r="A111" s="86"/>
      <c r="B111" s="91" t="s">
        <v>7</v>
      </c>
      <c r="C111" s="92"/>
      <c r="D111" s="92"/>
      <c r="E111" s="19">
        <f t="shared" ref="E111" si="55">SUM(E109:E110)</f>
        <v>238.79999999999998</v>
      </c>
      <c r="F111" s="3"/>
      <c r="G111" s="28" t="s">
        <v>3</v>
      </c>
      <c r="H111" s="37">
        <f t="shared" si="53"/>
        <v>0</v>
      </c>
      <c r="I111" t="s">
        <v>465</v>
      </c>
      <c r="J111">
        <v>109</v>
      </c>
      <c r="K111" s="24" t="s">
        <v>152</v>
      </c>
      <c r="L111" s="23">
        <f t="shared" si="21"/>
        <v>110776.66666666677</v>
      </c>
      <c r="M111" s="23">
        <f t="shared" si="22"/>
        <v>94761.904761904763</v>
      </c>
      <c r="N111" s="23">
        <f t="shared" si="25"/>
        <v>16014.76190476201</v>
      </c>
      <c r="O111" s="23">
        <f t="shared" si="23"/>
        <v>29470952.380952574</v>
      </c>
    </row>
    <row r="112" spans="1:15" ht="18.600000000000001" thickBot="1" x14ac:dyDescent="0.5">
      <c r="A112" s="86"/>
      <c r="B112" s="7"/>
      <c r="C112" s="5" t="s">
        <v>8</v>
      </c>
      <c r="D112" s="5"/>
      <c r="E112" s="49">
        <f t="shared" ref="E112" si="56">_xlfn.SWITCH(H107,1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824.38592857142874</v>
      </c>
      <c r="F112" s="3"/>
      <c r="G112" s="28" t="s">
        <v>16</v>
      </c>
      <c r="H112" s="37">
        <f>真実の家賃!$I$8*AD8</f>
        <v>3449.3333333333344</v>
      </c>
      <c r="I112" t="s">
        <v>465</v>
      </c>
      <c r="J112">
        <v>110</v>
      </c>
      <c r="K112" s="24" t="s">
        <v>153</v>
      </c>
      <c r="L112" s="23">
        <f t="shared" si="21"/>
        <v>110725.33730158741</v>
      </c>
      <c r="M112" s="23">
        <f t="shared" si="22"/>
        <v>94761.904761904763</v>
      </c>
      <c r="N112" s="23">
        <f t="shared" si="25"/>
        <v>15963.432539682646</v>
      </c>
      <c r="O112" s="23">
        <f t="shared" si="23"/>
        <v>29376190.476190671</v>
      </c>
    </row>
    <row r="113" spans="1:15" ht="18.600000000000001" thickBot="1" x14ac:dyDescent="0.5">
      <c r="A113" s="86"/>
      <c r="B113" s="8"/>
      <c r="C113" s="127" t="s">
        <v>2</v>
      </c>
      <c r="D113" s="128"/>
      <c r="E113" s="19">
        <f t="shared" ref="E113" si="57">IF(H115="",H107*15,H115)</f>
        <v>90</v>
      </c>
      <c r="F113" s="3"/>
      <c r="G113" s="56" t="s">
        <v>573</v>
      </c>
      <c r="H113" s="40" t="str">
        <f t="shared" si="53"/>
        <v/>
      </c>
      <c r="I113" t="s">
        <v>465</v>
      </c>
      <c r="J113">
        <v>111</v>
      </c>
      <c r="K113" s="24" t="s">
        <v>154</v>
      </c>
      <c r="L113" s="23">
        <f t="shared" si="21"/>
        <v>110674.00793650805</v>
      </c>
      <c r="M113" s="23">
        <f t="shared" si="22"/>
        <v>94761.904761904763</v>
      </c>
      <c r="N113" s="23">
        <f t="shared" si="25"/>
        <v>15912.103174603282</v>
      </c>
      <c r="O113" s="23">
        <f t="shared" si="23"/>
        <v>29281428.571428768</v>
      </c>
    </row>
    <row r="114" spans="1:15" ht="18.600000000000001" thickBot="1" x14ac:dyDescent="0.5">
      <c r="A114" s="86"/>
      <c r="B114" s="8"/>
      <c r="C114" s="129" t="s">
        <v>9</v>
      </c>
      <c r="D114" s="129"/>
      <c r="E114" s="19">
        <f t="shared" ref="E114" si="58">_xlfn.SWITCH(H107,1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-150.44400000000033</v>
      </c>
      <c r="F114" s="3"/>
      <c r="G114" s="34" t="s">
        <v>6</v>
      </c>
      <c r="H114" s="40" t="str">
        <f t="shared" si="17"/>
        <v/>
      </c>
      <c r="I114" t="s">
        <v>465</v>
      </c>
      <c r="J114">
        <v>112</v>
      </c>
      <c r="K114" s="24" t="s">
        <v>155</v>
      </c>
      <c r="L114" s="23">
        <f t="shared" si="21"/>
        <v>110622.67857142868</v>
      </c>
      <c r="M114" s="23">
        <f t="shared" si="22"/>
        <v>94761.904761904763</v>
      </c>
      <c r="N114" s="23">
        <f t="shared" si="25"/>
        <v>15860.773809523918</v>
      </c>
      <c r="O114" s="23">
        <f t="shared" si="23"/>
        <v>29186666.666666865</v>
      </c>
    </row>
    <row r="115" spans="1:15" ht="18.600000000000001" thickBot="1" x14ac:dyDescent="0.5">
      <c r="A115" s="86"/>
      <c r="B115" s="8"/>
      <c r="C115" s="130" t="s">
        <v>10</v>
      </c>
      <c r="D115" s="131"/>
      <c r="E115" s="49">
        <f t="shared" ref="E115" si="59">IF(H113="",$Z$3,H107*H113)</f>
        <v>0</v>
      </c>
      <c r="F115" s="3"/>
      <c r="G115" s="28" t="s">
        <v>560</v>
      </c>
      <c r="H115" s="40" t="str">
        <f t="shared" si="17"/>
        <v/>
      </c>
      <c r="I115" t="s">
        <v>465</v>
      </c>
      <c r="J115">
        <v>113</v>
      </c>
      <c r="K115" s="24" t="s">
        <v>156</v>
      </c>
      <c r="L115" s="23">
        <f t="shared" si="21"/>
        <v>110571.34920634932</v>
      </c>
      <c r="M115" s="23">
        <f t="shared" si="22"/>
        <v>94761.904761904763</v>
      </c>
      <c r="N115" s="23">
        <f t="shared" si="25"/>
        <v>15809.444444444554</v>
      </c>
      <c r="O115" s="23">
        <f t="shared" si="23"/>
        <v>29091904.761904962</v>
      </c>
    </row>
    <row r="116" spans="1:15" ht="18.600000000000001" thickBot="1" x14ac:dyDescent="0.5">
      <c r="A116" s="86"/>
      <c r="B116" s="132" t="s">
        <v>11</v>
      </c>
      <c r="C116" s="126"/>
      <c r="D116" s="126"/>
      <c r="E116" s="19">
        <f t="shared" ref="E116" si="60">SUM(E112:E115)</f>
        <v>763.94192857142843</v>
      </c>
      <c r="F116" s="3"/>
      <c r="G116" s="33" t="s">
        <v>561</v>
      </c>
      <c r="H116" s="41" t="str">
        <f t="shared" si="17"/>
        <v/>
      </c>
      <c r="I116" t="s">
        <v>465</v>
      </c>
      <c r="J116">
        <v>114</v>
      </c>
      <c r="K116" s="24" t="s">
        <v>157</v>
      </c>
      <c r="L116" s="23">
        <f t="shared" si="21"/>
        <v>110520.01984126995</v>
      </c>
      <c r="M116" s="23">
        <f t="shared" si="22"/>
        <v>94761.904761904763</v>
      </c>
      <c r="N116" s="23">
        <f t="shared" si="25"/>
        <v>15758.11507936519</v>
      </c>
      <c r="O116" s="23">
        <f t="shared" si="23"/>
        <v>28997142.857143059</v>
      </c>
    </row>
    <row r="117" spans="1:15" ht="18.600000000000001" thickBot="1" x14ac:dyDescent="0.5">
      <c r="A117" s="86"/>
      <c r="B117" s="7"/>
      <c r="C117" s="127" t="s">
        <v>12</v>
      </c>
      <c r="D117" s="128"/>
      <c r="E117" s="19">
        <f t="shared" ref="E117" si="61">_xlfn.SWITCH(H107,1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3297.7142857142985</v>
      </c>
      <c r="F117" s="3"/>
      <c r="G117" s="30"/>
      <c r="J117">
        <v>115</v>
      </c>
      <c r="K117" s="24" t="s">
        <v>158</v>
      </c>
      <c r="L117" s="23">
        <f t="shared" si="21"/>
        <v>110468.69047619059</v>
      </c>
      <c r="M117" s="23">
        <f t="shared" si="22"/>
        <v>94761.904761904763</v>
      </c>
      <c r="N117" s="23">
        <f t="shared" si="25"/>
        <v>15706.785714285825</v>
      </c>
      <c r="O117" s="23">
        <f t="shared" si="23"/>
        <v>28902380.952381156</v>
      </c>
    </row>
    <row r="118" spans="1:15" ht="18.600000000000001" thickBot="1" x14ac:dyDescent="0.5">
      <c r="A118" s="86"/>
      <c r="B118" s="8"/>
      <c r="C118" s="127" t="s">
        <v>13</v>
      </c>
      <c r="D118" s="128"/>
      <c r="E118" s="19">
        <f>IF(H116="",H112*0.05,H116)</f>
        <v>172.46666666666673</v>
      </c>
      <c r="F118" s="3"/>
      <c r="G118" s="30"/>
      <c r="J118">
        <v>116</v>
      </c>
      <c r="K118" s="24" t="s">
        <v>159</v>
      </c>
      <c r="L118" s="23">
        <f t="shared" si="21"/>
        <v>110417.36111111123</v>
      </c>
      <c r="M118" s="23">
        <f t="shared" si="22"/>
        <v>94761.904761904763</v>
      </c>
      <c r="N118" s="23">
        <f t="shared" si="25"/>
        <v>15655.456349206461</v>
      </c>
      <c r="O118" s="23">
        <f t="shared" si="23"/>
        <v>28807619.047619253</v>
      </c>
    </row>
    <row r="119" spans="1:15" ht="18.600000000000001" thickBot="1" x14ac:dyDescent="0.5">
      <c r="A119" s="86"/>
      <c r="B119" s="132" t="s">
        <v>14</v>
      </c>
      <c r="C119" s="126"/>
      <c r="D119" s="126"/>
      <c r="E119" s="19">
        <f t="shared" ref="E119" si="62">SUM(E117:E118)</f>
        <v>3470.1809523809652</v>
      </c>
      <c r="F119" s="3"/>
      <c r="G119" s="30"/>
      <c r="J119">
        <v>117</v>
      </c>
      <c r="K119" s="24" t="s">
        <v>160</v>
      </c>
      <c r="L119" s="23">
        <f t="shared" si="21"/>
        <v>110366.03174603186</v>
      </c>
      <c r="M119" s="23">
        <f t="shared" si="22"/>
        <v>94761.904761904763</v>
      </c>
      <c r="N119" s="23">
        <f t="shared" si="25"/>
        <v>15604.126984127097</v>
      </c>
      <c r="O119" s="23">
        <f t="shared" si="23"/>
        <v>28712857.14285735</v>
      </c>
    </row>
    <row r="120" spans="1:15" ht="18.600000000000001" thickBot="1" x14ac:dyDescent="0.5">
      <c r="A120" s="97" t="s">
        <v>15</v>
      </c>
      <c r="B120" s="98"/>
      <c r="C120" s="98"/>
      <c r="D120" s="99"/>
      <c r="E120" s="20">
        <f t="shared" ref="E120" si="63">E111+E116+E119</f>
        <v>4472.9228809523938</v>
      </c>
      <c r="F120" s="3"/>
      <c r="J120">
        <v>118</v>
      </c>
      <c r="K120" s="24" t="s">
        <v>161</v>
      </c>
      <c r="L120" s="23">
        <f t="shared" si="21"/>
        <v>110314.7023809525</v>
      </c>
      <c r="M120" s="23">
        <f t="shared" si="22"/>
        <v>94761.904761904763</v>
      </c>
      <c r="N120" s="23">
        <f t="shared" si="25"/>
        <v>15552.797619047733</v>
      </c>
      <c r="O120" s="23">
        <f t="shared" si="23"/>
        <v>28618095.238095447</v>
      </c>
    </row>
    <row r="121" spans="1:15" ht="18.600000000000001" thickBot="1" x14ac:dyDescent="0.5">
      <c r="A121" s="6"/>
      <c r="B121" s="126" t="s">
        <v>16</v>
      </c>
      <c r="C121" s="126"/>
      <c r="D121" s="126"/>
      <c r="E121" s="19">
        <f t="shared" ref="E121" si="64">H112</f>
        <v>3449.3333333333344</v>
      </c>
      <c r="F121" s="3"/>
      <c r="J121">
        <v>119</v>
      </c>
      <c r="K121" s="24" t="s">
        <v>162</v>
      </c>
      <c r="L121" s="23">
        <f t="shared" si="21"/>
        <v>110263.37301587313</v>
      </c>
      <c r="M121" s="23">
        <f t="shared" si="22"/>
        <v>94761.904761904763</v>
      </c>
      <c r="N121" s="23">
        <f t="shared" si="25"/>
        <v>15501.468253968369</v>
      </c>
      <c r="O121" s="23">
        <f t="shared" si="23"/>
        <v>28523333.333333544</v>
      </c>
    </row>
    <row r="122" spans="1:15" ht="18.600000000000001" thickBot="1" x14ac:dyDescent="0.5">
      <c r="A122" s="97" t="s">
        <v>17</v>
      </c>
      <c r="B122" s="98"/>
      <c r="C122" s="98"/>
      <c r="D122" s="99"/>
      <c r="E122" s="20">
        <f t="shared" ref="E122" si="65">E121</f>
        <v>3449.3333333333344</v>
      </c>
      <c r="F122" s="3"/>
      <c r="J122">
        <v>120</v>
      </c>
      <c r="K122" s="24" t="s">
        <v>163</v>
      </c>
      <c r="L122" s="23">
        <f t="shared" si="21"/>
        <v>110212.04365079377</v>
      </c>
      <c r="M122" s="23">
        <f t="shared" si="22"/>
        <v>94761.904761904763</v>
      </c>
      <c r="N122" s="23">
        <f t="shared" si="25"/>
        <v>15450.138888889005</v>
      </c>
      <c r="O122" s="23">
        <f t="shared" si="23"/>
        <v>28428571.428571641</v>
      </c>
    </row>
    <row r="123" spans="1:15" ht="18.600000000000001" thickBot="1" x14ac:dyDescent="0.5">
      <c r="A123" s="96" t="s">
        <v>18</v>
      </c>
      <c r="B123" s="96"/>
      <c r="C123" s="96"/>
      <c r="D123" s="96"/>
      <c r="E123" s="14">
        <f t="shared" ref="E123" si="66">12*H107</f>
        <v>72</v>
      </c>
      <c r="F123" s="3"/>
      <c r="J123">
        <v>121</v>
      </c>
      <c r="K123" s="24" t="s">
        <v>164</v>
      </c>
      <c r="L123" s="23">
        <f>IF(O122&lt;=0,0,(M123+N123))</f>
        <v>110160.71428571441</v>
      </c>
      <c r="M123" s="23">
        <f t="shared" si="22"/>
        <v>94761.904761904763</v>
      </c>
      <c r="N123" s="23">
        <f t="shared" si="25"/>
        <v>15398.809523809641</v>
      </c>
      <c r="O123" s="23">
        <f t="shared" si="23"/>
        <v>28333809.523809738</v>
      </c>
    </row>
    <row r="124" spans="1:15" ht="18.600000000000001" thickBot="1" x14ac:dyDescent="0.5">
      <c r="A124" s="3"/>
      <c r="B124" s="3"/>
      <c r="C124" s="3"/>
      <c r="D124" s="3"/>
      <c r="E124" s="3"/>
      <c r="F124" s="3"/>
      <c r="J124">
        <v>122</v>
      </c>
      <c r="K124" s="24" t="s">
        <v>165</v>
      </c>
      <c r="L124" s="23">
        <f t="shared" si="21"/>
        <v>110109.38492063504</v>
      </c>
      <c r="M124" s="23">
        <f t="shared" si="22"/>
        <v>94761.904761904763</v>
      </c>
      <c r="N124" s="23">
        <f t="shared" si="25"/>
        <v>15347.480158730277</v>
      </c>
      <c r="O124" s="23">
        <f t="shared" si="23"/>
        <v>28239047.619047835</v>
      </c>
    </row>
    <row r="125" spans="1:15" ht="18.600000000000001" thickBot="1" x14ac:dyDescent="0.5">
      <c r="A125" s="12" t="s">
        <v>19</v>
      </c>
      <c r="B125" s="12"/>
      <c r="C125" s="12"/>
      <c r="D125" s="12"/>
      <c r="E125" s="15">
        <f t="shared" ref="E125" si="67">-((E122-E120)/E123)</f>
        <v>14.216521494709159</v>
      </c>
      <c r="F125" s="3" t="s">
        <v>20</v>
      </c>
      <c r="J125">
        <v>123</v>
      </c>
      <c r="K125" s="24" t="s">
        <v>166</v>
      </c>
      <c r="L125" s="23">
        <f t="shared" si="21"/>
        <v>110058.05555555568</v>
      </c>
      <c r="M125" s="23">
        <f t="shared" si="22"/>
        <v>94761.904761904763</v>
      </c>
      <c r="N125" s="23">
        <f t="shared" si="25"/>
        <v>15296.150793650913</v>
      </c>
      <c r="O125" s="23">
        <f t="shared" si="23"/>
        <v>28144285.714285932</v>
      </c>
    </row>
    <row r="126" spans="1:15" x14ac:dyDescent="0.45">
      <c r="A126" s="3"/>
      <c r="B126" s="3"/>
      <c r="C126" s="3"/>
      <c r="D126" s="3"/>
      <c r="E126" s="3"/>
      <c r="F126" s="3"/>
      <c r="J126">
        <v>124</v>
      </c>
      <c r="K126" s="24" t="s">
        <v>167</v>
      </c>
      <c r="L126" s="23">
        <f t="shared" si="21"/>
        <v>110006.72619047631</v>
      </c>
      <c r="M126" s="23">
        <f t="shared" si="22"/>
        <v>94761.904761904763</v>
      </c>
      <c r="N126" s="23">
        <f t="shared" si="25"/>
        <v>15244.821428571549</v>
      </c>
      <c r="O126" s="23">
        <f t="shared" si="23"/>
        <v>28049523.809524029</v>
      </c>
    </row>
    <row r="127" spans="1:15" ht="18.600000000000001" thickBot="1" x14ac:dyDescent="0.5">
      <c r="A127" s="3"/>
      <c r="B127" s="3"/>
      <c r="D127" s="3"/>
      <c r="E127" s="3"/>
      <c r="F127" s="3"/>
      <c r="J127">
        <v>125</v>
      </c>
      <c r="K127" s="24" t="s">
        <v>168</v>
      </c>
      <c r="L127" s="23">
        <f t="shared" si="21"/>
        <v>109955.39682539695</v>
      </c>
      <c r="M127" s="23">
        <f t="shared" si="22"/>
        <v>94761.904761904763</v>
      </c>
      <c r="N127" s="23">
        <f t="shared" si="25"/>
        <v>15193.492063492185</v>
      </c>
      <c r="O127" s="23">
        <f t="shared" si="23"/>
        <v>27954761.904762127</v>
      </c>
    </row>
    <row r="128" spans="1:15" ht="18.600000000000001" thickBot="1" x14ac:dyDescent="0.5">
      <c r="A128" s="10" t="s">
        <v>4</v>
      </c>
      <c r="B128" s="3"/>
      <c r="C128" s="3"/>
      <c r="D128" s="3"/>
      <c r="E128" s="4" t="s">
        <v>1</v>
      </c>
      <c r="F128" s="4"/>
      <c r="G128" s="38" t="s">
        <v>508</v>
      </c>
      <c r="H128" s="42">
        <f t="shared" ref="H128" si="68">H107+1</f>
        <v>7</v>
      </c>
      <c r="I128" t="s">
        <v>509</v>
      </c>
      <c r="J128">
        <v>126</v>
      </c>
      <c r="K128" s="24" t="s">
        <v>169</v>
      </c>
      <c r="L128" s="23">
        <f t="shared" si="21"/>
        <v>109904.06746031759</v>
      </c>
      <c r="M128" s="23">
        <f t="shared" si="22"/>
        <v>94761.904761904763</v>
      </c>
      <c r="N128" s="23">
        <f t="shared" si="25"/>
        <v>15142.162698412822</v>
      </c>
      <c r="O128" s="23">
        <f t="shared" si="23"/>
        <v>27860000.000000224</v>
      </c>
    </row>
    <row r="129" spans="1:15" ht="18.600000000000001" thickBot="1" x14ac:dyDescent="0.5">
      <c r="A129" s="133" t="s">
        <v>5</v>
      </c>
      <c r="B129" s="133"/>
      <c r="C129" s="133"/>
      <c r="D129" s="133"/>
      <c r="E129" s="11" t="s">
        <v>0</v>
      </c>
      <c r="F129" s="3"/>
      <c r="G129" s="36" t="s">
        <v>464</v>
      </c>
      <c r="H129" s="37">
        <f t="shared" ref="H129:H134" si="69">H108</f>
        <v>3980</v>
      </c>
      <c r="I129" t="s">
        <v>465</v>
      </c>
      <c r="J129">
        <v>127</v>
      </c>
      <c r="K129" s="24" t="s">
        <v>170</v>
      </c>
      <c r="L129" s="23">
        <f t="shared" si="21"/>
        <v>109852.73809523822</v>
      </c>
      <c r="M129" s="23">
        <f t="shared" si="22"/>
        <v>94761.904761904763</v>
      </c>
      <c r="N129" s="23">
        <f t="shared" si="25"/>
        <v>15090.833333333454</v>
      </c>
      <c r="O129" s="23">
        <f t="shared" si="23"/>
        <v>27765238.095238321</v>
      </c>
    </row>
    <row r="130" spans="1:15" ht="18.600000000000001" thickBot="1" x14ac:dyDescent="0.5">
      <c r="A130" s="85"/>
      <c r="B130" s="87"/>
      <c r="C130" s="127" t="s">
        <v>3</v>
      </c>
      <c r="D130" s="128"/>
      <c r="E130" s="29">
        <f t="shared" ref="E130" si="70">IF(H132="",0,H132)</f>
        <v>0</v>
      </c>
      <c r="F130" s="3"/>
      <c r="G130" s="25" t="s">
        <v>466</v>
      </c>
      <c r="H130" s="43">
        <f t="shared" si="69"/>
        <v>0.65</v>
      </c>
      <c r="I130" t="s">
        <v>469</v>
      </c>
      <c r="J130">
        <v>128</v>
      </c>
      <c r="K130" s="24" t="s">
        <v>171</v>
      </c>
      <c r="L130" s="23">
        <f t="shared" si="21"/>
        <v>109801.40873015886</v>
      </c>
      <c r="M130" s="23">
        <f t="shared" si="22"/>
        <v>94761.904761904763</v>
      </c>
      <c r="N130" s="23">
        <f t="shared" si="25"/>
        <v>15039.50396825409</v>
      </c>
      <c r="O130" s="23">
        <f t="shared" si="23"/>
        <v>27670476.190476418</v>
      </c>
    </row>
    <row r="131" spans="1:15" ht="18.600000000000001" thickBot="1" x14ac:dyDescent="0.5">
      <c r="A131" s="86"/>
      <c r="B131" s="88"/>
      <c r="C131" s="127" t="s">
        <v>6</v>
      </c>
      <c r="D131" s="128"/>
      <c r="E131" s="19">
        <f>IF(H135="",$H$7*0.06,H135)</f>
        <v>238.79999999999998</v>
      </c>
      <c r="F131" s="3"/>
      <c r="G131" s="25" t="s">
        <v>467</v>
      </c>
      <c r="H131" s="37">
        <f t="shared" si="69"/>
        <v>35</v>
      </c>
      <c r="I131" t="s">
        <v>468</v>
      </c>
      <c r="J131">
        <v>129</v>
      </c>
      <c r="K131" s="24" t="s">
        <v>172</v>
      </c>
      <c r="L131" s="23">
        <f t="shared" si="21"/>
        <v>109750.07936507949</v>
      </c>
      <c r="M131" s="23">
        <f t="shared" si="22"/>
        <v>94761.904761904763</v>
      </c>
      <c r="N131" s="23">
        <f t="shared" si="25"/>
        <v>14988.174603174726</v>
      </c>
      <c r="O131" s="23">
        <f t="shared" si="23"/>
        <v>27575714.285714515</v>
      </c>
    </row>
    <row r="132" spans="1:15" ht="18.600000000000001" thickBot="1" x14ac:dyDescent="0.5">
      <c r="A132" s="86"/>
      <c r="B132" s="91" t="s">
        <v>7</v>
      </c>
      <c r="C132" s="92"/>
      <c r="D132" s="92"/>
      <c r="E132" s="19">
        <f t="shared" ref="E132" si="71">SUM(E130:E131)</f>
        <v>238.79999999999998</v>
      </c>
      <c r="F132" s="3"/>
      <c r="G132" s="28" t="s">
        <v>3</v>
      </c>
      <c r="H132" s="37">
        <f t="shared" si="69"/>
        <v>0</v>
      </c>
      <c r="I132" t="s">
        <v>465</v>
      </c>
      <c r="J132">
        <v>130</v>
      </c>
      <c r="K132" s="24" t="s">
        <v>173</v>
      </c>
      <c r="L132" s="23">
        <f t="shared" si="21"/>
        <v>109698.75000000013</v>
      </c>
      <c r="M132" s="23">
        <f t="shared" si="22"/>
        <v>94761.904761904763</v>
      </c>
      <c r="N132" s="23">
        <f t="shared" si="25"/>
        <v>14936.845238095362</v>
      </c>
      <c r="O132" s="23">
        <f t="shared" si="23"/>
        <v>27480952.380952612</v>
      </c>
    </row>
    <row r="133" spans="1:15" ht="18.600000000000001" thickBot="1" x14ac:dyDescent="0.5">
      <c r="A133" s="86"/>
      <c r="B133" s="7"/>
      <c r="C133" s="5" t="s">
        <v>8</v>
      </c>
      <c r="D133" s="5"/>
      <c r="E133" s="49">
        <f t="shared" ref="E133" si="72">_xlfn.SWITCH(H128,1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959.19658333333359</v>
      </c>
      <c r="F133" s="3"/>
      <c r="G133" s="28" t="s">
        <v>16</v>
      </c>
      <c r="H133" s="37">
        <f>真実の家賃!$I$8*AD9</f>
        <v>3343.2000000000012</v>
      </c>
      <c r="I133" t="s">
        <v>465</v>
      </c>
      <c r="J133">
        <v>131</v>
      </c>
      <c r="K133" s="24" t="s">
        <v>174</v>
      </c>
      <c r="L133" s="23">
        <f t="shared" si="21"/>
        <v>109647.42063492077</v>
      </c>
      <c r="M133" s="23">
        <f t="shared" si="22"/>
        <v>94761.904761904763</v>
      </c>
      <c r="N133" s="23">
        <f t="shared" si="25"/>
        <v>14885.515873015998</v>
      </c>
      <c r="O133" s="23">
        <f t="shared" si="23"/>
        <v>27386190.476190709</v>
      </c>
    </row>
    <row r="134" spans="1:15" ht="18.600000000000001" thickBot="1" x14ac:dyDescent="0.5">
      <c r="A134" s="86"/>
      <c r="B134" s="8"/>
      <c r="C134" s="127" t="s">
        <v>2</v>
      </c>
      <c r="D134" s="128"/>
      <c r="E134" s="19">
        <f t="shared" ref="E134" si="73">IF(H136="",H128*15,H136)</f>
        <v>105</v>
      </c>
      <c r="F134" s="3"/>
      <c r="G134" s="56" t="s">
        <v>573</v>
      </c>
      <c r="H134" s="40" t="str">
        <f t="shared" si="69"/>
        <v/>
      </c>
      <c r="I134" t="s">
        <v>465</v>
      </c>
      <c r="J134">
        <v>132</v>
      </c>
      <c r="K134" s="24" t="s">
        <v>175</v>
      </c>
      <c r="L134" s="23">
        <f t="shared" ref="L134:L197" si="74">IF(O133&lt;=0,0,(M134+N134))</f>
        <v>109596.0912698414</v>
      </c>
      <c r="M134" s="23">
        <f t="shared" ref="M134:M197" si="75">IF(O133&lt;=0,0,(($H$3*10000)/($H$5*12)))</f>
        <v>94761.904761904763</v>
      </c>
      <c r="N134" s="23">
        <f t="shared" si="25"/>
        <v>14834.186507936634</v>
      </c>
      <c r="O134" s="23">
        <f t="shared" ref="O134:O197" si="76">IF(O133&lt;=0,0,(O133-M134))</f>
        <v>27291428.571428806</v>
      </c>
    </row>
    <row r="135" spans="1:15" ht="18.600000000000001" thickBot="1" x14ac:dyDescent="0.5">
      <c r="A135" s="86"/>
      <c r="B135" s="8"/>
      <c r="C135" s="129" t="s">
        <v>9</v>
      </c>
      <c r="D135" s="129"/>
      <c r="E135" s="19">
        <f t="shared" ref="E135" si="77">_xlfn.SWITCH(H128,1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-172.73200000000043</v>
      </c>
      <c r="F135" s="3"/>
      <c r="G135" s="34" t="s">
        <v>6</v>
      </c>
      <c r="H135" s="40" t="str">
        <f t="shared" si="37"/>
        <v/>
      </c>
      <c r="I135" t="s">
        <v>465</v>
      </c>
      <c r="J135">
        <v>133</v>
      </c>
      <c r="K135" s="24" t="s">
        <v>176</v>
      </c>
      <c r="L135" s="23">
        <f t="shared" si="74"/>
        <v>109544.76190476204</v>
      </c>
      <c r="M135" s="23">
        <f t="shared" si="75"/>
        <v>94761.904761904763</v>
      </c>
      <c r="N135" s="23">
        <f t="shared" ref="N135:N198" si="78">IF(O134&lt;=0,0,(O134*($H$4/100)/12))</f>
        <v>14782.85714285727</v>
      </c>
      <c r="O135" s="23">
        <f t="shared" si="76"/>
        <v>27196666.666666903</v>
      </c>
    </row>
    <row r="136" spans="1:15" ht="18.600000000000001" thickBot="1" x14ac:dyDescent="0.5">
      <c r="A136" s="86"/>
      <c r="B136" s="8"/>
      <c r="C136" s="130" t="s">
        <v>10</v>
      </c>
      <c r="D136" s="131"/>
      <c r="E136" s="49">
        <f t="shared" ref="E136" si="79">IF(H134="",$Z$3,H128*H134)</f>
        <v>0</v>
      </c>
      <c r="F136" s="3"/>
      <c r="G136" s="28" t="s">
        <v>560</v>
      </c>
      <c r="H136" s="40" t="str">
        <f t="shared" si="37"/>
        <v/>
      </c>
      <c r="I136" t="s">
        <v>465</v>
      </c>
      <c r="J136">
        <v>134</v>
      </c>
      <c r="K136" s="24" t="s">
        <v>177</v>
      </c>
      <c r="L136" s="23">
        <f t="shared" si="74"/>
        <v>109493.43253968268</v>
      </c>
      <c r="M136" s="23">
        <f t="shared" si="75"/>
        <v>94761.904761904763</v>
      </c>
      <c r="N136" s="23">
        <f t="shared" si="78"/>
        <v>14731.527777777907</v>
      </c>
      <c r="O136" s="23">
        <f t="shared" si="76"/>
        <v>27101904.761905</v>
      </c>
    </row>
    <row r="137" spans="1:15" ht="18.600000000000001" thickBot="1" x14ac:dyDescent="0.5">
      <c r="A137" s="86"/>
      <c r="B137" s="132" t="s">
        <v>11</v>
      </c>
      <c r="C137" s="126"/>
      <c r="D137" s="126"/>
      <c r="E137" s="19">
        <f t="shared" ref="E137" si="80">SUM(E133:E136)</f>
        <v>891.46458333333317</v>
      </c>
      <c r="F137" s="3"/>
      <c r="G137" s="33" t="s">
        <v>561</v>
      </c>
      <c r="H137" s="41" t="str">
        <f t="shared" si="37"/>
        <v/>
      </c>
      <c r="I137" t="s">
        <v>465</v>
      </c>
      <c r="J137">
        <v>135</v>
      </c>
      <c r="K137" s="24" t="s">
        <v>178</v>
      </c>
      <c r="L137" s="23">
        <f t="shared" si="74"/>
        <v>109442.10317460331</v>
      </c>
      <c r="M137" s="23">
        <f t="shared" si="75"/>
        <v>94761.904761904763</v>
      </c>
      <c r="N137" s="23">
        <f t="shared" si="78"/>
        <v>14680.198412698543</v>
      </c>
      <c r="O137" s="23">
        <f t="shared" si="76"/>
        <v>27007142.857143097</v>
      </c>
    </row>
    <row r="138" spans="1:15" ht="18.600000000000001" thickBot="1" x14ac:dyDescent="0.5">
      <c r="A138" s="86"/>
      <c r="B138" s="7"/>
      <c r="C138" s="127" t="s">
        <v>12</v>
      </c>
      <c r="D138" s="128"/>
      <c r="E138" s="19">
        <f t="shared" ref="E138" si="81">_xlfn.SWITCH(H128,1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3184.000000000015</v>
      </c>
      <c r="F138" s="3"/>
      <c r="G138" s="30"/>
      <c r="J138">
        <v>136</v>
      </c>
      <c r="K138" s="24" t="s">
        <v>179</v>
      </c>
      <c r="L138" s="23">
        <f t="shared" si="74"/>
        <v>109390.77380952395</v>
      </c>
      <c r="M138" s="23">
        <f t="shared" si="75"/>
        <v>94761.904761904763</v>
      </c>
      <c r="N138" s="23">
        <f t="shared" si="78"/>
        <v>14628.869047619179</v>
      </c>
      <c r="O138" s="23">
        <f t="shared" si="76"/>
        <v>26912380.952381194</v>
      </c>
    </row>
    <row r="139" spans="1:15" ht="18.600000000000001" thickBot="1" x14ac:dyDescent="0.5">
      <c r="A139" s="86"/>
      <c r="B139" s="8"/>
      <c r="C139" s="127" t="s">
        <v>13</v>
      </c>
      <c r="D139" s="128"/>
      <c r="E139" s="19">
        <f>IF(H137="",H133*0.05,H137)</f>
        <v>167.16000000000008</v>
      </c>
      <c r="F139" s="3"/>
      <c r="G139" s="30"/>
      <c r="J139">
        <v>137</v>
      </c>
      <c r="K139" s="24" t="s">
        <v>180</v>
      </c>
      <c r="L139" s="23">
        <f t="shared" si="74"/>
        <v>109339.44444444458</v>
      </c>
      <c r="M139" s="23">
        <f t="shared" si="75"/>
        <v>94761.904761904763</v>
      </c>
      <c r="N139" s="23">
        <f t="shared" si="78"/>
        <v>14577.539682539815</v>
      </c>
      <c r="O139" s="23">
        <f t="shared" si="76"/>
        <v>26817619.047619291</v>
      </c>
    </row>
    <row r="140" spans="1:15" ht="18.600000000000001" thickBot="1" x14ac:dyDescent="0.5">
      <c r="A140" s="86"/>
      <c r="B140" s="132" t="s">
        <v>14</v>
      </c>
      <c r="C140" s="126"/>
      <c r="D140" s="126"/>
      <c r="E140" s="19">
        <f t="shared" ref="E140" si="82">SUM(E138:E139)</f>
        <v>3351.1600000000153</v>
      </c>
      <c r="F140" s="3"/>
      <c r="G140" s="30"/>
      <c r="J140">
        <v>138</v>
      </c>
      <c r="K140" s="24" t="s">
        <v>181</v>
      </c>
      <c r="L140" s="23">
        <f t="shared" si="74"/>
        <v>109288.11507936522</v>
      </c>
      <c r="M140" s="23">
        <f t="shared" si="75"/>
        <v>94761.904761904763</v>
      </c>
      <c r="N140" s="23">
        <f t="shared" si="78"/>
        <v>14526.210317460451</v>
      </c>
      <c r="O140" s="23">
        <f t="shared" si="76"/>
        <v>26722857.142857388</v>
      </c>
    </row>
    <row r="141" spans="1:15" ht="18.600000000000001" thickBot="1" x14ac:dyDescent="0.5">
      <c r="A141" s="97" t="s">
        <v>15</v>
      </c>
      <c r="B141" s="98"/>
      <c r="C141" s="98"/>
      <c r="D141" s="99"/>
      <c r="E141" s="20">
        <f t="shared" ref="E141" si="83">E132+E137+E140</f>
        <v>4481.424583333348</v>
      </c>
      <c r="F141" s="3"/>
      <c r="J141">
        <v>139</v>
      </c>
      <c r="K141" s="24" t="s">
        <v>182</v>
      </c>
      <c r="L141" s="23">
        <f t="shared" si="74"/>
        <v>109236.78571428586</v>
      </c>
      <c r="M141" s="23">
        <f t="shared" si="75"/>
        <v>94761.904761904763</v>
      </c>
      <c r="N141" s="23">
        <f t="shared" si="78"/>
        <v>14474.880952381085</v>
      </c>
      <c r="O141" s="23">
        <f t="shared" si="76"/>
        <v>26628095.238095485</v>
      </c>
    </row>
    <row r="142" spans="1:15" ht="18.600000000000001" thickBot="1" x14ac:dyDescent="0.5">
      <c r="A142" s="6"/>
      <c r="B142" s="126" t="s">
        <v>16</v>
      </c>
      <c r="C142" s="126"/>
      <c r="D142" s="126"/>
      <c r="E142" s="19">
        <f t="shared" ref="E142" si="84">H133</f>
        <v>3343.2000000000012</v>
      </c>
      <c r="F142" s="3"/>
      <c r="J142">
        <v>140</v>
      </c>
      <c r="K142" s="24" t="s">
        <v>183</v>
      </c>
      <c r="L142" s="23">
        <f t="shared" si="74"/>
        <v>109185.45634920648</v>
      </c>
      <c r="M142" s="23">
        <f t="shared" si="75"/>
        <v>94761.904761904763</v>
      </c>
      <c r="N142" s="23">
        <f t="shared" si="78"/>
        <v>14423.551587301721</v>
      </c>
      <c r="O142" s="23">
        <f t="shared" si="76"/>
        <v>26533333.333333582</v>
      </c>
    </row>
    <row r="143" spans="1:15" ht="18.600000000000001" thickBot="1" x14ac:dyDescent="0.5">
      <c r="A143" s="97" t="s">
        <v>17</v>
      </c>
      <c r="B143" s="98"/>
      <c r="C143" s="98"/>
      <c r="D143" s="99"/>
      <c r="E143" s="20">
        <f t="shared" ref="E143" si="85">E142</f>
        <v>3343.2000000000012</v>
      </c>
      <c r="F143" s="3"/>
      <c r="J143">
        <v>141</v>
      </c>
      <c r="K143" s="24" t="s">
        <v>184</v>
      </c>
      <c r="L143" s="23">
        <f t="shared" si="74"/>
        <v>109134.12698412713</v>
      </c>
      <c r="M143" s="23">
        <f t="shared" si="75"/>
        <v>94761.904761904763</v>
      </c>
      <c r="N143" s="23">
        <f t="shared" si="78"/>
        <v>14372.222222222357</v>
      </c>
      <c r="O143" s="23">
        <f t="shared" si="76"/>
        <v>26438571.428571679</v>
      </c>
    </row>
    <row r="144" spans="1:15" ht="18.600000000000001" thickBot="1" x14ac:dyDescent="0.5">
      <c r="A144" s="96" t="s">
        <v>18</v>
      </c>
      <c r="B144" s="96"/>
      <c r="C144" s="96"/>
      <c r="D144" s="96"/>
      <c r="E144" s="14">
        <f t="shared" ref="E144" si="86">12*H128</f>
        <v>84</v>
      </c>
      <c r="F144" s="3"/>
      <c r="J144">
        <v>142</v>
      </c>
      <c r="K144" s="24" t="s">
        <v>185</v>
      </c>
      <c r="L144" s="23">
        <f t="shared" si="74"/>
        <v>109082.79761904775</v>
      </c>
      <c r="M144" s="23">
        <f t="shared" si="75"/>
        <v>94761.904761904763</v>
      </c>
      <c r="N144" s="23">
        <f t="shared" si="78"/>
        <v>14320.892857142993</v>
      </c>
      <c r="O144" s="23">
        <f t="shared" si="76"/>
        <v>26343809.523809776</v>
      </c>
    </row>
    <row r="145" spans="1:15" ht="18.600000000000001" thickBot="1" x14ac:dyDescent="0.5">
      <c r="A145" s="3"/>
      <c r="B145" s="3"/>
      <c r="C145" s="3"/>
      <c r="D145" s="3"/>
      <c r="E145" s="3"/>
      <c r="F145" s="3"/>
      <c r="J145">
        <v>143</v>
      </c>
      <c r="K145" s="24" t="s">
        <v>186</v>
      </c>
      <c r="L145" s="23">
        <f t="shared" si="74"/>
        <v>109031.4682539684</v>
      </c>
      <c r="M145" s="23">
        <f t="shared" si="75"/>
        <v>94761.904761904763</v>
      </c>
      <c r="N145" s="23">
        <f t="shared" si="78"/>
        <v>14269.563492063629</v>
      </c>
      <c r="O145" s="23">
        <f t="shared" si="76"/>
        <v>26249047.619047873</v>
      </c>
    </row>
    <row r="146" spans="1:15" ht="18.600000000000001" thickBot="1" x14ac:dyDescent="0.5">
      <c r="A146" s="12" t="s">
        <v>19</v>
      </c>
      <c r="B146" s="12"/>
      <c r="C146" s="12"/>
      <c r="D146" s="12"/>
      <c r="E146" s="15">
        <f t="shared" ref="E146" si="87">-((E143-E141)/E144)</f>
        <v>13.550292658730319</v>
      </c>
      <c r="F146" s="3" t="s">
        <v>20</v>
      </c>
      <c r="J146">
        <v>144</v>
      </c>
      <c r="K146" s="24" t="s">
        <v>187</v>
      </c>
      <c r="L146" s="23">
        <f t="shared" si="74"/>
        <v>108980.13888888902</v>
      </c>
      <c r="M146" s="23">
        <f t="shared" si="75"/>
        <v>94761.904761904763</v>
      </c>
      <c r="N146" s="23">
        <f t="shared" si="78"/>
        <v>14218.234126984265</v>
      </c>
      <c r="O146" s="23">
        <f t="shared" si="76"/>
        <v>26154285.71428597</v>
      </c>
    </row>
    <row r="147" spans="1:15" x14ac:dyDescent="0.45">
      <c r="A147" s="3"/>
      <c r="B147" s="3"/>
      <c r="C147" s="3"/>
      <c r="D147" s="3"/>
      <c r="E147" s="3"/>
      <c r="F147" s="3"/>
      <c r="J147">
        <v>145</v>
      </c>
      <c r="K147" s="24" t="s">
        <v>188</v>
      </c>
      <c r="L147" s="23">
        <f t="shared" si="74"/>
        <v>108928.80952380967</v>
      </c>
      <c r="M147" s="23">
        <f t="shared" si="75"/>
        <v>94761.904761904763</v>
      </c>
      <c r="N147" s="23">
        <f t="shared" si="78"/>
        <v>14166.904761904902</v>
      </c>
      <c r="O147" s="23">
        <f t="shared" si="76"/>
        <v>26059523.809524067</v>
      </c>
    </row>
    <row r="148" spans="1:15" ht="18.600000000000001" thickBot="1" x14ac:dyDescent="0.5">
      <c r="A148" s="3"/>
      <c r="B148" s="3"/>
      <c r="D148" s="3"/>
      <c r="E148" s="3"/>
      <c r="F148" s="3"/>
      <c r="J148">
        <v>146</v>
      </c>
      <c r="K148" s="24" t="s">
        <v>189</v>
      </c>
      <c r="L148" s="23">
        <f t="shared" si="74"/>
        <v>108877.48015873029</v>
      </c>
      <c r="M148" s="23">
        <f t="shared" si="75"/>
        <v>94761.904761904763</v>
      </c>
      <c r="N148" s="23">
        <f t="shared" si="78"/>
        <v>14115.575396825538</v>
      </c>
      <c r="O148" s="23">
        <f t="shared" si="76"/>
        <v>25964761.904762164</v>
      </c>
    </row>
    <row r="149" spans="1:15" ht="18.600000000000001" thickBot="1" x14ac:dyDescent="0.5">
      <c r="A149" s="10" t="s">
        <v>4</v>
      </c>
      <c r="B149" s="3"/>
      <c r="C149" s="3"/>
      <c r="D149" s="3"/>
      <c r="E149" s="4" t="s">
        <v>1</v>
      </c>
      <c r="F149" s="4"/>
      <c r="G149" s="38" t="s">
        <v>508</v>
      </c>
      <c r="H149" s="42">
        <f t="shared" ref="H149" si="88">H128+1</f>
        <v>8</v>
      </c>
      <c r="I149" t="s">
        <v>509</v>
      </c>
      <c r="J149">
        <v>147</v>
      </c>
      <c r="K149" s="24" t="s">
        <v>190</v>
      </c>
      <c r="L149" s="23">
        <f t="shared" si="74"/>
        <v>108826.15079365094</v>
      </c>
      <c r="M149" s="23">
        <f t="shared" si="75"/>
        <v>94761.904761904763</v>
      </c>
      <c r="N149" s="23">
        <f t="shared" si="78"/>
        <v>14064.246031746174</v>
      </c>
      <c r="O149" s="23">
        <f t="shared" si="76"/>
        <v>25870000.000000261</v>
      </c>
    </row>
    <row r="150" spans="1:15" ht="18.600000000000001" thickBot="1" x14ac:dyDescent="0.5">
      <c r="A150" s="133" t="s">
        <v>5</v>
      </c>
      <c r="B150" s="133"/>
      <c r="C150" s="133"/>
      <c r="D150" s="133"/>
      <c r="E150" s="11" t="s">
        <v>0</v>
      </c>
      <c r="F150" s="3"/>
      <c r="G150" s="36" t="s">
        <v>464</v>
      </c>
      <c r="H150" s="37">
        <f t="shared" ref="H150:H200" si="89">H129</f>
        <v>3980</v>
      </c>
      <c r="I150" t="s">
        <v>465</v>
      </c>
      <c r="J150">
        <v>148</v>
      </c>
      <c r="K150" s="24" t="s">
        <v>191</v>
      </c>
      <c r="L150" s="23">
        <f t="shared" si="74"/>
        <v>108774.82142857157</v>
      </c>
      <c r="M150" s="23">
        <f t="shared" si="75"/>
        <v>94761.904761904763</v>
      </c>
      <c r="N150" s="23">
        <f t="shared" si="78"/>
        <v>14012.91666666681</v>
      </c>
      <c r="O150" s="23">
        <f t="shared" si="76"/>
        <v>25775238.095238358</v>
      </c>
    </row>
    <row r="151" spans="1:15" ht="18.600000000000001" thickBot="1" x14ac:dyDescent="0.5">
      <c r="A151" s="85"/>
      <c r="B151" s="87"/>
      <c r="C151" s="127" t="s">
        <v>3</v>
      </c>
      <c r="D151" s="128"/>
      <c r="E151" s="29">
        <f t="shared" ref="E151" si="90">IF(H153="",0,H153)</f>
        <v>0</v>
      </c>
      <c r="F151" s="3"/>
      <c r="G151" s="25" t="s">
        <v>466</v>
      </c>
      <c r="H151" s="43">
        <f t="shared" si="89"/>
        <v>0.65</v>
      </c>
      <c r="I151" t="s">
        <v>469</v>
      </c>
      <c r="J151">
        <v>149</v>
      </c>
      <c r="K151" s="24" t="s">
        <v>192</v>
      </c>
      <c r="L151" s="23">
        <f t="shared" si="74"/>
        <v>108723.49206349222</v>
      </c>
      <c r="M151" s="23">
        <f t="shared" si="75"/>
        <v>94761.904761904763</v>
      </c>
      <c r="N151" s="23">
        <f t="shared" si="78"/>
        <v>13961.587301587446</v>
      </c>
      <c r="O151" s="23">
        <f t="shared" si="76"/>
        <v>25680476.190476455</v>
      </c>
    </row>
    <row r="152" spans="1:15" ht="18.600000000000001" thickBot="1" x14ac:dyDescent="0.5">
      <c r="A152" s="86"/>
      <c r="B152" s="88"/>
      <c r="C152" s="127" t="s">
        <v>6</v>
      </c>
      <c r="D152" s="128"/>
      <c r="E152" s="19">
        <f>IF(H156="",$H$7*0.06,H156)</f>
        <v>238.79999999999998</v>
      </c>
      <c r="F152" s="3"/>
      <c r="G152" s="25" t="s">
        <v>467</v>
      </c>
      <c r="H152" s="37">
        <f t="shared" si="89"/>
        <v>35</v>
      </c>
      <c r="I152" t="s">
        <v>468</v>
      </c>
      <c r="J152">
        <v>150</v>
      </c>
      <c r="K152" s="24" t="s">
        <v>193</v>
      </c>
      <c r="L152" s="23">
        <f t="shared" si="74"/>
        <v>108672.16269841284</v>
      </c>
      <c r="M152" s="23">
        <f t="shared" si="75"/>
        <v>94761.904761904763</v>
      </c>
      <c r="N152" s="23">
        <f t="shared" si="78"/>
        <v>13910.257936508082</v>
      </c>
      <c r="O152" s="23">
        <f t="shared" si="76"/>
        <v>25585714.285714552</v>
      </c>
    </row>
    <row r="153" spans="1:15" ht="18.600000000000001" thickBot="1" x14ac:dyDescent="0.5">
      <c r="A153" s="86"/>
      <c r="B153" s="91" t="s">
        <v>7</v>
      </c>
      <c r="C153" s="92"/>
      <c r="D153" s="92"/>
      <c r="E153" s="19">
        <f t="shared" ref="E153" si="91">SUM(E151:E152)</f>
        <v>238.79999999999998</v>
      </c>
      <c r="F153" s="3"/>
      <c r="G153" s="28" t="s">
        <v>3</v>
      </c>
      <c r="H153" s="37">
        <f t="shared" si="89"/>
        <v>0</v>
      </c>
      <c r="I153" t="s">
        <v>465</v>
      </c>
      <c r="J153">
        <v>151</v>
      </c>
      <c r="K153" s="24" t="s">
        <v>194</v>
      </c>
      <c r="L153" s="23">
        <f t="shared" si="74"/>
        <v>108620.83333333347</v>
      </c>
      <c r="M153" s="23">
        <f t="shared" si="75"/>
        <v>94761.904761904763</v>
      </c>
      <c r="N153" s="23">
        <f t="shared" si="78"/>
        <v>13858.928571428716</v>
      </c>
      <c r="O153" s="23">
        <f t="shared" si="76"/>
        <v>25490952.380952649</v>
      </c>
    </row>
    <row r="154" spans="1:15" ht="18.600000000000001" thickBot="1" x14ac:dyDescent="0.5">
      <c r="A154" s="86"/>
      <c r="B154" s="7"/>
      <c r="C154" s="5" t="s">
        <v>8</v>
      </c>
      <c r="D154" s="5"/>
      <c r="E154" s="49">
        <f t="shared" ref="E154" si="92">_xlfn.SWITCH(H149,1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1093.2680952380956</v>
      </c>
      <c r="F154" s="3"/>
      <c r="G154" s="28" t="s">
        <v>16</v>
      </c>
      <c r="H154" s="37">
        <f>真実の家賃!$I$8*AD10</f>
        <v>3237.066666666668</v>
      </c>
      <c r="I154" t="s">
        <v>465</v>
      </c>
      <c r="J154">
        <v>152</v>
      </c>
      <c r="K154" s="24" t="s">
        <v>195</v>
      </c>
      <c r="L154" s="23">
        <f t="shared" si="74"/>
        <v>108569.50396825411</v>
      </c>
      <c r="M154" s="23">
        <f t="shared" si="75"/>
        <v>94761.904761904763</v>
      </c>
      <c r="N154" s="23">
        <f t="shared" si="78"/>
        <v>13807.599206349352</v>
      </c>
      <c r="O154" s="23">
        <f t="shared" si="76"/>
        <v>25396190.476190746</v>
      </c>
    </row>
    <row r="155" spans="1:15" ht="18.600000000000001" thickBot="1" x14ac:dyDescent="0.5">
      <c r="A155" s="86"/>
      <c r="B155" s="8"/>
      <c r="C155" s="127" t="s">
        <v>2</v>
      </c>
      <c r="D155" s="128"/>
      <c r="E155" s="19">
        <f t="shared" ref="E155" si="93">IF(H157="",H149*15,H157)</f>
        <v>120</v>
      </c>
      <c r="F155" s="3"/>
      <c r="G155" s="56" t="s">
        <v>573</v>
      </c>
      <c r="H155" s="40" t="str">
        <f t="shared" si="89"/>
        <v/>
      </c>
      <c r="I155" t="s">
        <v>465</v>
      </c>
      <c r="J155">
        <v>153</v>
      </c>
      <c r="K155" s="24" t="s">
        <v>196</v>
      </c>
      <c r="L155" s="23">
        <f t="shared" si="74"/>
        <v>108518.17460317475</v>
      </c>
      <c r="M155" s="23">
        <f t="shared" si="75"/>
        <v>94761.904761904763</v>
      </c>
      <c r="N155" s="23">
        <f t="shared" si="78"/>
        <v>13756.269841269988</v>
      </c>
      <c r="O155" s="23">
        <f t="shared" si="76"/>
        <v>25301428.571428843</v>
      </c>
    </row>
    <row r="156" spans="1:15" ht="18.600000000000001" thickBot="1" x14ac:dyDescent="0.5">
      <c r="A156" s="86"/>
      <c r="B156" s="8"/>
      <c r="C156" s="129" t="s">
        <v>9</v>
      </c>
      <c r="D156" s="129"/>
      <c r="E156" s="19">
        <f t="shared" ref="E156" si="94">_xlfn.SWITCH(H149,1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-194.22400000000053</v>
      </c>
      <c r="F156" s="3"/>
      <c r="G156" s="34" t="s">
        <v>6</v>
      </c>
      <c r="H156" s="40" t="str">
        <f t="shared" si="89"/>
        <v/>
      </c>
      <c r="I156" t="s">
        <v>465</v>
      </c>
      <c r="J156">
        <v>154</v>
      </c>
      <c r="K156" s="24" t="s">
        <v>197</v>
      </c>
      <c r="L156" s="23">
        <f t="shared" si="74"/>
        <v>108466.84523809538</v>
      </c>
      <c r="M156" s="23">
        <f t="shared" si="75"/>
        <v>94761.904761904763</v>
      </c>
      <c r="N156" s="23">
        <f t="shared" si="78"/>
        <v>13704.940476190624</v>
      </c>
      <c r="O156" s="23">
        <f t="shared" si="76"/>
        <v>25206666.66666694</v>
      </c>
    </row>
    <row r="157" spans="1:15" ht="18.600000000000001" thickBot="1" x14ac:dyDescent="0.5">
      <c r="A157" s="86"/>
      <c r="B157" s="8"/>
      <c r="C157" s="130" t="s">
        <v>10</v>
      </c>
      <c r="D157" s="131"/>
      <c r="E157" s="49">
        <f t="shared" ref="E157" si="95">IF(H155="",$Z$3,H149*H155)</f>
        <v>0</v>
      </c>
      <c r="F157" s="3"/>
      <c r="G157" s="28" t="s">
        <v>560</v>
      </c>
      <c r="H157" s="40" t="str">
        <f t="shared" si="89"/>
        <v/>
      </c>
      <c r="I157" t="s">
        <v>465</v>
      </c>
      <c r="J157">
        <v>155</v>
      </c>
      <c r="K157" s="24" t="s">
        <v>198</v>
      </c>
      <c r="L157" s="23">
        <f t="shared" si="74"/>
        <v>108415.51587301602</v>
      </c>
      <c r="M157" s="23">
        <f t="shared" si="75"/>
        <v>94761.904761904763</v>
      </c>
      <c r="N157" s="23">
        <f t="shared" si="78"/>
        <v>13653.61111111126</v>
      </c>
      <c r="O157" s="23">
        <f t="shared" si="76"/>
        <v>25111904.761905037</v>
      </c>
    </row>
    <row r="158" spans="1:15" ht="18.600000000000001" thickBot="1" x14ac:dyDescent="0.5">
      <c r="A158" s="86"/>
      <c r="B158" s="132" t="s">
        <v>11</v>
      </c>
      <c r="C158" s="126"/>
      <c r="D158" s="126"/>
      <c r="E158" s="19">
        <f t="shared" ref="E158" si="96">SUM(E154:E157)</f>
        <v>1019.0440952380951</v>
      </c>
      <c r="F158" s="3"/>
      <c r="G158" s="33" t="s">
        <v>561</v>
      </c>
      <c r="H158" s="41" t="str">
        <f t="shared" si="89"/>
        <v/>
      </c>
      <c r="I158" t="s">
        <v>465</v>
      </c>
      <c r="J158">
        <v>156</v>
      </c>
      <c r="K158" s="24" t="s">
        <v>199</v>
      </c>
      <c r="L158" s="23">
        <f t="shared" si="74"/>
        <v>108364.18650793665</v>
      </c>
      <c r="M158" s="23">
        <f t="shared" si="75"/>
        <v>94761.904761904763</v>
      </c>
      <c r="N158" s="23">
        <f t="shared" si="78"/>
        <v>13602.281746031897</v>
      </c>
      <c r="O158" s="23">
        <f t="shared" si="76"/>
        <v>25017142.857143134</v>
      </c>
    </row>
    <row r="159" spans="1:15" ht="18.600000000000001" thickBot="1" x14ac:dyDescent="0.5">
      <c r="A159" s="86"/>
      <c r="B159" s="7"/>
      <c r="C159" s="127" t="s">
        <v>12</v>
      </c>
      <c r="D159" s="128"/>
      <c r="E159" s="19">
        <f t="shared" ref="E159" si="97">_xlfn.SWITCH(H149,1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3070.2857142857315</v>
      </c>
      <c r="F159" s="3"/>
      <c r="G159" s="30"/>
      <c r="J159">
        <v>157</v>
      </c>
      <c r="K159" s="24" t="s">
        <v>200</v>
      </c>
      <c r="L159" s="23">
        <f t="shared" si="74"/>
        <v>108312.85714285729</v>
      </c>
      <c r="M159" s="23">
        <f t="shared" si="75"/>
        <v>94761.904761904763</v>
      </c>
      <c r="N159" s="23">
        <f t="shared" si="78"/>
        <v>13550.952380952533</v>
      </c>
      <c r="O159" s="23">
        <f t="shared" si="76"/>
        <v>24922380.952381231</v>
      </c>
    </row>
    <row r="160" spans="1:15" ht="18.600000000000001" thickBot="1" x14ac:dyDescent="0.5">
      <c r="A160" s="86"/>
      <c r="B160" s="8"/>
      <c r="C160" s="127" t="s">
        <v>13</v>
      </c>
      <c r="D160" s="128"/>
      <c r="E160" s="19">
        <f>IF(H158="",H154*0.05,H158)</f>
        <v>161.85333333333341</v>
      </c>
      <c r="F160" s="3"/>
      <c r="G160" s="30"/>
      <c r="J160">
        <v>158</v>
      </c>
      <c r="K160" s="24" t="s">
        <v>201</v>
      </c>
      <c r="L160" s="23">
        <f t="shared" si="74"/>
        <v>108261.52777777793</v>
      </c>
      <c r="M160" s="23">
        <f t="shared" si="75"/>
        <v>94761.904761904763</v>
      </c>
      <c r="N160" s="23">
        <f t="shared" si="78"/>
        <v>13499.623015873169</v>
      </c>
      <c r="O160" s="23">
        <f t="shared" si="76"/>
        <v>24827619.047619328</v>
      </c>
    </row>
    <row r="161" spans="1:15" ht="18.600000000000001" thickBot="1" x14ac:dyDescent="0.5">
      <c r="A161" s="86"/>
      <c r="B161" s="132" t="s">
        <v>14</v>
      </c>
      <c r="C161" s="126"/>
      <c r="D161" s="126"/>
      <c r="E161" s="19">
        <f t="shared" ref="E161" si="98">SUM(E159:E160)</f>
        <v>3232.139047619065</v>
      </c>
      <c r="F161" s="3"/>
      <c r="G161" s="30"/>
      <c r="J161">
        <v>159</v>
      </c>
      <c r="K161" s="24" t="s">
        <v>202</v>
      </c>
      <c r="L161" s="23">
        <f t="shared" si="74"/>
        <v>108210.19841269856</v>
      </c>
      <c r="M161" s="23">
        <f t="shared" si="75"/>
        <v>94761.904761904763</v>
      </c>
      <c r="N161" s="23">
        <f t="shared" si="78"/>
        <v>13448.293650793805</v>
      </c>
      <c r="O161" s="23">
        <f t="shared" si="76"/>
        <v>24732857.142857425</v>
      </c>
    </row>
    <row r="162" spans="1:15" ht="18.600000000000001" thickBot="1" x14ac:dyDescent="0.5">
      <c r="A162" s="97" t="s">
        <v>15</v>
      </c>
      <c r="B162" s="98"/>
      <c r="C162" s="98"/>
      <c r="D162" s="99"/>
      <c r="E162" s="20">
        <f t="shared" ref="E162" si="99">E153+E158+E161</f>
        <v>4489.9831428571597</v>
      </c>
      <c r="F162" s="3"/>
      <c r="J162">
        <v>160</v>
      </c>
      <c r="K162" s="24" t="s">
        <v>203</v>
      </c>
      <c r="L162" s="23">
        <f t="shared" si="74"/>
        <v>108158.8690476192</v>
      </c>
      <c r="M162" s="23">
        <f t="shared" si="75"/>
        <v>94761.904761904763</v>
      </c>
      <c r="N162" s="23">
        <f t="shared" si="78"/>
        <v>13396.964285714441</v>
      </c>
      <c r="O162" s="23">
        <f t="shared" si="76"/>
        <v>24638095.238095522</v>
      </c>
    </row>
    <row r="163" spans="1:15" ht="18.600000000000001" thickBot="1" x14ac:dyDescent="0.5">
      <c r="A163" s="6"/>
      <c r="B163" s="126" t="s">
        <v>16</v>
      </c>
      <c r="C163" s="126"/>
      <c r="D163" s="126"/>
      <c r="E163" s="19">
        <f t="shared" ref="E163" si="100">H154</f>
        <v>3237.066666666668</v>
      </c>
      <c r="F163" s="3"/>
      <c r="J163">
        <v>161</v>
      </c>
      <c r="K163" s="24" t="s">
        <v>204</v>
      </c>
      <c r="L163" s="23">
        <f t="shared" si="74"/>
        <v>108107.53968253983</v>
      </c>
      <c r="M163" s="23">
        <f t="shared" si="75"/>
        <v>94761.904761904763</v>
      </c>
      <c r="N163" s="23">
        <f t="shared" si="78"/>
        <v>13345.634920635077</v>
      </c>
      <c r="O163" s="23">
        <f t="shared" si="76"/>
        <v>24543333.333333619</v>
      </c>
    </row>
    <row r="164" spans="1:15" ht="18.600000000000001" thickBot="1" x14ac:dyDescent="0.5">
      <c r="A164" s="97" t="s">
        <v>17</v>
      </c>
      <c r="B164" s="98"/>
      <c r="C164" s="98"/>
      <c r="D164" s="99"/>
      <c r="E164" s="20">
        <f t="shared" ref="E164" si="101">E163</f>
        <v>3237.066666666668</v>
      </c>
      <c r="F164" s="3"/>
      <c r="J164">
        <v>162</v>
      </c>
      <c r="K164" s="24" t="s">
        <v>205</v>
      </c>
      <c r="L164" s="23">
        <f t="shared" si="74"/>
        <v>108056.21031746047</v>
      </c>
      <c r="M164" s="23">
        <f t="shared" si="75"/>
        <v>94761.904761904763</v>
      </c>
      <c r="N164" s="23">
        <f t="shared" si="78"/>
        <v>13294.305555555713</v>
      </c>
      <c r="O164" s="23">
        <f t="shared" si="76"/>
        <v>24448571.428571716</v>
      </c>
    </row>
    <row r="165" spans="1:15" ht="18.600000000000001" thickBot="1" x14ac:dyDescent="0.5">
      <c r="A165" s="96" t="s">
        <v>18</v>
      </c>
      <c r="B165" s="96"/>
      <c r="C165" s="96"/>
      <c r="D165" s="96"/>
      <c r="E165" s="14">
        <f t="shared" ref="E165" si="102">12*H149</f>
        <v>96</v>
      </c>
      <c r="F165" s="3"/>
      <c r="J165">
        <v>163</v>
      </c>
      <c r="K165" s="24" t="s">
        <v>206</v>
      </c>
      <c r="L165" s="23">
        <f t="shared" si="74"/>
        <v>108004.88095238111</v>
      </c>
      <c r="M165" s="23">
        <f t="shared" si="75"/>
        <v>94761.904761904763</v>
      </c>
      <c r="N165" s="23">
        <f t="shared" si="78"/>
        <v>13242.976190476349</v>
      </c>
      <c r="O165" s="23">
        <f t="shared" si="76"/>
        <v>24353809.523809813</v>
      </c>
    </row>
    <row r="166" spans="1:15" ht="18.600000000000001" thickBot="1" x14ac:dyDescent="0.5">
      <c r="A166" s="3"/>
      <c r="B166" s="3"/>
      <c r="C166" s="3"/>
      <c r="D166" s="3"/>
      <c r="E166" s="3"/>
      <c r="F166" s="3"/>
      <c r="J166">
        <v>164</v>
      </c>
      <c r="K166" s="24" t="s">
        <v>207</v>
      </c>
      <c r="L166" s="23">
        <f t="shared" si="74"/>
        <v>107953.55158730174</v>
      </c>
      <c r="M166" s="23">
        <f t="shared" si="75"/>
        <v>94761.904761904763</v>
      </c>
      <c r="N166" s="23">
        <f t="shared" si="78"/>
        <v>13191.646825396982</v>
      </c>
      <c r="O166" s="23">
        <f t="shared" si="76"/>
        <v>24259047.61904791</v>
      </c>
    </row>
    <row r="167" spans="1:15" ht="18.600000000000001" thickBot="1" x14ac:dyDescent="0.5">
      <c r="A167" s="12" t="s">
        <v>19</v>
      </c>
      <c r="B167" s="12"/>
      <c r="C167" s="12"/>
      <c r="D167" s="12"/>
      <c r="E167" s="15">
        <f t="shared" ref="E167" si="103">-((E164-E162)/E165)</f>
        <v>13.051213293650955</v>
      </c>
      <c r="F167" s="3" t="s">
        <v>20</v>
      </c>
      <c r="J167">
        <v>165</v>
      </c>
      <c r="K167" s="24" t="s">
        <v>208</v>
      </c>
      <c r="L167" s="23">
        <f t="shared" si="74"/>
        <v>107902.22222222238</v>
      </c>
      <c r="M167" s="23">
        <f t="shared" si="75"/>
        <v>94761.904761904763</v>
      </c>
      <c r="N167" s="23">
        <f t="shared" si="78"/>
        <v>13140.317460317618</v>
      </c>
      <c r="O167" s="23">
        <f t="shared" si="76"/>
        <v>24164285.714286007</v>
      </c>
    </row>
    <row r="168" spans="1:15" x14ac:dyDescent="0.45">
      <c r="A168" s="3"/>
      <c r="B168" s="3"/>
      <c r="C168" s="3"/>
      <c r="D168" s="3"/>
      <c r="E168" s="3"/>
      <c r="F168" s="3"/>
      <c r="J168">
        <v>166</v>
      </c>
      <c r="K168" s="24" t="s">
        <v>209</v>
      </c>
      <c r="L168" s="23">
        <f t="shared" si="74"/>
        <v>107850.89285714302</v>
      </c>
      <c r="M168" s="23">
        <f t="shared" si="75"/>
        <v>94761.904761904763</v>
      </c>
      <c r="N168" s="23">
        <f t="shared" si="78"/>
        <v>13088.988095238254</v>
      </c>
      <c r="O168" s="23">
        <f t="shared" si="76"/>
        <v>24069523.809524104</v>
      </c>
    </row>
    <row r="169" spans="1:15" ht="18.600000000000001" thickBot="1" x14ac:dyDescent="0.5">
      <c r="A169" s="3"/>
      <c r="B169" s="3"/>
      <c r="D169" s="3"/>
      <c r="E169" s="3"/>
      <c r="F169" s="3"/>
      <c r="J169">
        <v>167</v>
      </c>
      <c r="K169" s="24" t="s">
        <v>210</v>
      </c>
      <c r="L169" s="23">
        <f t="shared" si="74"/>
        <v>107799.56349206365</v>
      </c>
      <c r="M169" s="23">
        <f t="shared" si="75"/>
        <v>94761.904761904763</v>
      </c>
      <c r="N169" s="23">
        <f t="shared" si="78"/>
        <v>13037.65873015889</v>
      </c>
      <c r="O169" s="23">
        <f t="shared" si="76"/>
        <v>23974761.904762201</v>
      </c>
    </row>
    <row r="170" spans="1:15" ht="18.600000000000001" thickBot="1" x14ac:dyDescent="0.5">
      <c r="A170" s="10" t="s">
        <v>4</v>
      </c>
      <c r="B170" s="3"/>
      <c r="C170" s="3"/>
      <c r="D170" s="3"/>
      <c r="E170" s="4" t="s">
        <v>1</v>
      </c>
      <c r="F170" s="4"/>
      <c r="G170" s="38" t="s">
        <v>508</v>
      </c>
      <c r="H170" s="42">
        <f t="shared" ref="H170" si="104">H149+1</f>
        <v>9</v>
      </c>
      <c r="I170" t="s">
        <v>509</v>
      </c>
      <c r="J170">
        <v>168</v>
      </c>
      <c r="K170" s="24" t="s">
        <v>211</v>
      </c>
      <c r="L170" s="23">
        <f t="shared" si="74"/>
        <v>107748.23412698429</v>
      </c>
      <c r="M170" s="23">
        <f t="shared" si="75"/>
        <v>94761.904761904763</v>
      </c>
      <c r="N170" s="23">
        <f t="shared" si="78"/>
        <v>12986.329365079526</v>
      </c>
      <c r="O170" s="23">
        <f t="shared" si="76"/>
        <v>23880000.000000298</v>
      </c>
    </row>
    <row r="171" spans="1:15" ht="18.600000000000001" thickBot="1" x14ac:dyDescent="0.5">
      <c r="A171" s="133" t="s">
        <v>5</v>
      </c>
      <c r="B171" s="133"/>
      <c r="C171" s="133"/>
      <c r="D171" s="133"/>
      <c r="E171" s="11" t="s">
        <v>0</v>
      </c>
      <c r="F171" s="3"/>
      <c r="G171" s="36" t="s">
        <v>464</v>
      </c>
      <c r="H171" s="37">
        <f t="shared" ref="H171:H221" si="105">H150</f>
        <v>3980</v>
      </c>
      <c r="I171" t="s">
        <v>465</v>
      </c>
      <c r="J171">
        <v>169</v>
      </c>
      <c r="K171" s="24" t="s">
        <v>212</v>
      </c>
      <c r="L171" s="23">
        <f t="shared" si="74"/>
        <v>107696.90476190492</v>
      </c>
      <c r="M171" s="23">
        <f t="shared" si="75"/>
        <v>94761.904761904763</v>
      </c>
      <c r="N171" s="23">
        <f t="shared" si="78"/>
        <v>12935.000000000162</v>
      </c>
      <c r="O171" s="23">
        <f t="shared" si="76"/>
        <v>23785238.095238395</v>
      </c>
    </row>
    <row r="172" spans="1:15" ht="18.600000000000001" thickBot="1" x14ac:dyDescent="0.5">
      <c r="A172" s="85"/>
      <c r="B172" s="87"/>
      <c r="C172" s="127" t="s">
        <v>3</v>
      </c>
      <c r="D172" s="128"/>
      <c r="E172" s="29">
        <f t="shared" ref="E172" si="106">IF(H174="",0,H174)</f>
        <v>0</v>
      </c>
      <c r="F172" s="3"/>
      <c r="G172" s="25" t="s">
        <v>466</v>
      </c>
      <c r="H172" s="43">
        <f t="shared" si="105"/>
        <v>0.65</v>
      </c>
      <c r="I172" t="s">
        <v>469</v>
      </c>
      <c r="J172">
        <v>170</v>
      </c>
      <c r="K172" s="24" t="s">
        <v>213</v>
      </c>
      <c r="L172" s="23">
        <f t="shared" si="74"/>
        <v>107645.57539682556</v>
      </c>
      <c r="M172" s="23">
        <f t="shared" si="75"/>
        <v>94761.904761904763</v>
      </c>
      <c r="N172" s="23">
        <f t="shared" si="78"/>
        <v>12883.670634920798</v>
      </c>
      <c r="O172" s="23">
        <f t="shared" si="76"/>
        <v>23690476.190476492</v>
      </c>
    </row>
    <row r="173" spans="1:15" ht="18.600000000000001" thickBot="1" x14ac:dyDescent="0.5">
      <c r="A173" s="86"/>
      <c r="B173" s="88"/>
      <c r="C173" s="127" t="s">
        <v>6</v>
      </c>
      <c r="D173" s="128"/>
      <c r="E173" s="19">
        <f>IF(H177="",$H$7*0.06,H177)</f>
        <v>238.79999999999998</v>
      </c>
      <c r="F173" s="3"/>
      <c r="G173" s="25" t="s">
        <v>467</v>
      </c>
      <c r="H173" s="37">
        <f t="shared" si="105"/>
        <v>35</v>
      </c>
      <c r="I173" t="s">
        <v>468</v>
      </c>
      <c r="J173">
        <v>171</v>
      </c>
      <c r="K173" s="24" t="s">
        <v>214</v>
      </c>
      <c r="L173" s="23">
        <f t="shared" si="74"/>
        <v>107594.2460317462</v>
      </c>
      <c r="M173" s="23">
        <f t="shared" si="75"/>
        <v>94761.904761904763</v>
      </c>
      <c r="N173" s="23">
        <f t="shared" si="78"/>
        <v>12832.341269841434</v>
      </c>
      <c r="O173" s="23">
        <f t="shared" si="76"/>
        <v>23595714.285714589</v>
      </c>
    </row>
    <row r="174" spans="1:15" ht="18.600000000000001" thickBot="1" x14ac:dyDescent="0.5">
      <c r="A174" s="86"/>
      <c r="B174" s="91" t="s">
        <v>7</v>
      </c>
      <c r="C174" s="92"/>
      <c r="D174" s="92"/>
      <c r="E174" s="19">
        <f t="shared" ref="E174" si="107">SUM(E172:E173)</f>
        <v>238.79999999999998</v>
      </c>
      <c r="F174" s="3"/>
      <c r="G174" s="28" t="s">
        <v>3</v>
      </c>
      <c r="H174" s="37">
        <f t="shared" si="105"/>
        <v>0</v>
      </c>
      <c r="I174" t="s">
        <v>465</v>
      </c>
      <c r="J174">
        <v>172</v>
      </c>
      <c r="K174" s="24" t="s">
        <v>215</v>
      </c>
      <c r="L174" s="23">
        <f t="shared" si="74"/>
        <v>107542.91666666683</v>
      </c>
      <c r="M174" s="23">
        <f t="shared" si="75"/>
        <v>94761.904761904763</v>
      </c>
      <c r="N174" s="23">
        <f t="shared" si="78"/>
        <v>12781.01190476207</v>
      </c>
      <c r="O174" s="23">
        <f t="shared" si="76"/>
        <v>23500952.380952686</v>
      </c>
    </row>
    <row r="175" spans="1:15" ht="18.600000000000001" thickBot="1" x14ac:dyDescent="0.5">
      <c r="A175" s="86"/>
      <c r="B175" s="7"/>
      <c r="C175" s="5" t="s">
        <v>8</v>
      </c>
      <c r="D175" s="5"/>
      <c r="E175" s="49">
        <f t="shared" ref="E175" si="108">_xlfn.SWITCH(H170,1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1226.6004642857147</v>
      </c>
      <c r="F175" s="3"/>
      <c r="G175" s="28" t="s">
        <v>16</v>
      </c>
      <c r="H175" s="37">
        <f>真実の家賃!$I$8*AD11</f>
        <v>3130.9333333333348</v>
      </c>
      <c r="I175" t="s">
        <v>465</v>
      </c>
      <c r="J175">
        <v>173</v>
      </c>
      <c r="K175" s="24" t="s">
        <v>216</v>
      </c>
      <c r="L175" s="23">
        <f t="shared" si="74"/>
        <v>107491.58730158747</v>
      </c>
      <c r="M175" s="23">
        <f t="shared" si="75"/>
        <v>94761.904761904763</v>
      </c>
      <c r="N175" s="23">
        <f t="shared" si="78"/>
        <v>12729.682539682706</v>
      </c>
      <c r="O175" s="23">
        <f t="shared" si="76"/>
        <v>23406190.476190783</v>
      </c>
    </row>
    <row r="176" spans="1:15" ht="18.600000000000001" thickBot="1" x14ac:dyDescent="0.5">
      <c r="A176" s="86"/>
      <c r="B176" s="8"/>
      <c r="C176" s="127" t="s">
        <v>2</v>
      </c>
      <c r="D176" s="128"/>
      <c r="E176" s="19">
        <f t="shared" ref="E176" si="109">IF(H178="",H170*15,H178)</f>
        <v>135</v>
      </c>
      <c r="F176" s="3"/>
      <c r="G176" s="56" t="s">
        <v>573</v>
      </c>
      <c r="H176" s="40" t="str">
        <f t="shared" si="105"/>
        <v/>
      </c>
      <c r="I176" t="s">
        <v>465</v>
      </c>
      <c r="J176">
        <v>174</v>
      </c>
      <c r="K176" s="24" t="s">
        <v>217</v>
      </c>
      <c r="L176" s="23">
        <f t="shared" si="74"/>
        <v>107440.2579365081</v>
      </c>
      <c r="M176" s="23">
        <f t="shared" si="75"/>
        <v>94761.904761904763</v>
      </c>
      <c r="N176" s="23">
        <f t="shared" si="78"/>
        <v>12678.353174603342</v>
      </c>
      <c r="O176" s="23">
        <f t="shared" si="76"/>
        <v>23311428.57142888</v>
      </c>
    </row>
    <row r="177" spans="1:15" ht="18.600000000000001" thickBot="1" x14ac:dyDescent="0.5">
      <c r="A177" s="86"/>
      <c r="B177" s="8"/>
      <c r="C177" s="129" t="s">
        <v>9</v>
      </c>
      <c r="D177" s="129"/>
      <c r="E177" s="19">
        <f t="shared" ref="E177" si="110">_xlfn.SWITCH(H170,1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-214.92000000000064</v>
      </c>
      <c r="F177" s="3"/>
      <c r="G177" s="34" t="s">
        <v>6</v>
      </c>
      <c r="H177" s="40" t="str">
        <f t="shared" si="105"/>
        <v/>
      </c>
      <c r="I177" t="s">
        <v>465</v>
      </c>
      <c r="J177">
        <v>175</v>
      </c>
      <c r="K177" s="24" t="s">
        <v>218</v>
      </c>
      <c r="L177" s="23">
        <f t="shared" si="74"/>
        <v>107388.92857142874</v>
      </c>
      <c r="M177" s="23">
        <f t="shared" si="75"/>
        <v>94761.904761904763</v>
      </c>
      <c r="N177" s="23">
        <f t="shared" si="78"/>
        <v>12627.023809523978</v>
      </c>
      <c r="O177" s="23">
        <f t="shared" si="76"/>
        <v>23216666.666666977</v>
      </c>
    </row>
    <row r="178" spans="1:15" ht="18.600000000000001" thickBot="1" x14ac:dyDescent="0.5">
      <c r="A178" s="86"/>
      <c r="B178" s="8"/>
      <c r="C178" s="130" t="s">
        <v>10</v>
      </c>
      <c r="D178" s="131"/>
      <c r="E178" s="49">
        <f t="shared" ref="E178" si="111">IF(H176="",$Z$3,H170*H176)</f>
        <v>0</v>
      </c>
      <c r="F178" s="3"/>
      <c r="G178" s="28" t="s">
        <v>560</v>
      </c>
      <c r="H178" s="40" t="str">
        <f t="shared" si="105"/>
        <v/>
      </c>
      <c r="I178" t="s">
        <v>465</v>
      </c>
      <c r="J178">
        <v>176</v>
      </c>
      <c r="K178" s="24" t="s">
        <v>219</v>
      </c>
      <c r="L178" s="23">
        <f t="shared" si="74"/>
        <v>107337.59920634938</v>
      </c>
      <c r="M178" s="23">
        <f t="shared" si="75"/>
        <v>94761.904761904763</v>
      </c>
      <c r="N178" s="23">
        <f t="shared" si="78"/>
        <v>12575.694444444613</v>
      </c>
      <c r="O178" s="23">
        <f t="shared" si="76"/>
        <v>23121904.761905074</v>
      </c>
    </row>
    <row r="179" spans="1:15" ht="18.600000000000001" thickBot="1" x14ac:dyDescent="0.5">
      <c r="A179" s="86"/>
      <c r="B179" s="132" t="s">
        <v>11</v>
      </c>
      <c r="C179" s="126"/>
      <c r="D179" s="126"/>
      <c r="E179" s="19">
        <f t="shared" ref="E179" si="112">SUM(E175:E178)</f>
        <v>1146.6804642857142</v>
      </c>
      <c r="F179" s="3"/>
      <c r="G179" s="33" t="s">
        <v>561</v>
      </c>
      <c r="H179" s="41" t="str">
        <f t="shared" si="105"/>
        <v/>
      </c>
      <c r="I179" t="s">
        <v>465</v>
      </c>
      <c r="J179">
        <v>177</v>
      </c>
      <c r="K179" s="24" t="s">
        <v>220</v>
      </c>
      <c r="L179" s="23">
        <f t="shared" si="74"/>
        <v>107286.26984127001</v>
      </c>
      <c r="M179" s="23">
        <f t="shared" si="75"/>
        <v>94761.904761904763</v>
      </c>
      <c r="N179" s="23">
        <f t="shared" si="78"/>
        <v>12524.365079365249</v>
      </c>
      <c r="O179" s="23">
        <f t="shared" si="76"/>
        <v>23027142.857143171</v>
      </c>
    </row>
    <row r="180" spans="1:15" ht="18.600000000000001" thickBot="1" x14ac:dyDescent="0.5">
      <c r="A180" s="86"/>
      <c r="B180" s="7"/>
      <c r="C180" s="127" t="s">
        <v>12</v>
      </c>
      <c r="D180" s="128"/>
      <c r="E180" s="19">
        <f t="shared" ref="E180" si="113">_xlfn.SWITCH(H170,1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2956.5714285714475</v>
      </c>
      <c r="F180" s="3"/>
      <c r="G180" s="30"/>
      <c r="J180">
        <v>178</v>
      </c>
      <c r="K180" s="24" t="s">
        <v>221</v>
      </c>
      <c r="L180" s="23">
        <f t="shared" si="74"/>
        <v>107234.94047619065</v>
      </c>
      <c r="M180" s="23">
        <f t="shared" si="75"/>
        <v>94761.904761904763</v>
      </c>
      <c r="N180" s="23">
        <f t="shared" si="78"/>
        <v>12473.035714285885</v>
      </c>
      <c r="O180" s="23">
        <f t="shared" si="76"/>
        <v>22932380.952381268</v>
      </c>
    </row>
    <row r="181" spans="1:15" ht="18.600000000000001" thickBot="1" x14ac:dyDescent="0.5">
      <c r="A181" s="86"/>
      <c r="B181" s="8"/>
      <c r="C181" s="127" t="s">
        <v>13</v>
      </c>
      <c r="D181" s="128"/>
      <c r="E181" s="19">
        <f>IF(H179="",H175*0.05,H179)</f>
        <v>156.54666666666674</v>
      </c>
      <c r="F181" s="3"/>
      <c r="G181" s="30"/>
      <c r="J181">
        <v>179</v>
      </c>
      <c r="K181" s="24" t="s">
        <v>222</v>
      </c>
      <c r="L181" s="23">
        <f t="shared" si="74"/>
        <v>107183.61111111128</v>
      </c>
      <c r="M181" s="23">
        <f t="shared" si="75"/>
        <v>94761.904761904763</v>
      </c>
      <c r="N181" s="23">
        <f t="shared" si="78"/>
        <v>12421.706349206521</v>
      </c>
      <c r="O181" s="23">
        <f t="shared" si="76"/>
        <v>22837619.047619365</v>
      </c>
    </row>
    <row r="182" spans="1:15" ht="18.600000000000001" thickBot="1" x14ac:dyDescent="0.5">
      <c r="A182" s="86"/>
      <c r="B182" s="132" t="s">
        <v>14</v>
      </c>
      <c r="C182" s="126"/>
      <c r="D182" s="126"/>
      <c r="E182" s="19">
        <f t="shared" ref="E182" si="114">SUM(E180:E181)</f>
        <v>3113.1180952381142</v>
      </c>
      <c r="F182" s="3"/>
      <c r="G182" s="30"/>
      <c r="J182">
        <v>180</v>
      </c>
      <c r="K182" s="24" t="s">
        <v>223</v>
      </c>
      <c r="L182" s="23">
        <f t="shared" si="74"/>
        <v>107132.28174603192</v>
      </c>
      <c r="M182" s="23">
        <f t="shared" si="75"/>
        <v>94761.904761904763</v>
      </c>
      <c r="N182" s="23">
        <f t="shared" si="78"/>
        <v>12370.376984127157</v>
      </c>
      <c r="O182" s="23">
        <f t="shared" si="76"/>
        <v>22742857.142857462</v>
      </c>
    </row>
    <row r="183" spans="1:15" ht="18.600000000000001" thickBot="1" x14ac:dyDescent="0.5">
      <c r="A183" s="97" t="s">
        <v>15</v>
      </c>
      <c r="B183" s="98"/>
      <c r="C183" s="98"/>
      <c r="D183" s="99"/>
      <c r="E183" s="20">
        <f t="shared" ref="E183" si="115">E174+E179+E182</f>
        <v>4498.598559523828</v>
      </c>
      <c r="F183" s="3"/>
      <c r="J183">
        <v>181</v>
      </c>
      <c r="K183" s="24" t="s">
        <v>224</v>
      </c>
      <c r="L183" s="23">
        <f t="shared" si="74"/>
        <v>107080.95238095256</v>
      </c>
      <c r="M183" s="23">
        <f t="shared" si="75"/>
        <v>94761.904761904763</v>
      </c>
      <c r="N183" s="23">
        <f t="shared" si="78"/>
        <v>12319.047619047793</v>
      </c>
      <c r="O183" s="23">
        <f t="shared" si="76"/>
        <v>22648095.238095559</v>
      </c>
    </row>
    <row r="184" spans="1:15" ht="18.600000000000001" thickBot="1" x14ac:dyDescent="0.5">
      <c r="A184" s="6"/>
      <c r="B184" s="126" t="s">
        <v>16</v>
      </c>
      <c r="C184" s="126"/>
      <c r="D184" s="126"/>
      <c r="E184" s="19">
        <f t="shared" ref="E184" si="116">H175</f>
        <v>3130.9333333333348</v>
      </c>
      <c r="F184" s="3"/>
      <c r="J184">
        <v>182</v>
      </c>
      <c r="K184" s="24" t="s">
        <v>225</v>
      </c>
      <c r="L184" s="23">
        <f t="shared" si="74"/>
        <v>107029.62301587319</v>
      </c>
      <c r="M184" s="23">
        <f t="shared" si="75"/>
        <v>94761.904761904763</v>
      </c>
      <c r="N184" s="23">
        <f t="shared" si="78"/>
        <v>12267.718253968429</v>
      </c>
      <c r="O184" s="23">
        <f t="shared" si="76"/>
        <v>22553333.333333656</v>
      </c>
    </row>
    <row r="185" spans="1:15" ht="18.600000000000001" thickBot="1" x14ac:dyDescent="0.5">
      <c r="A185" s="97" t="s">
        <v>17</v>
      </c>
      <c r="B185" s="98"/>
      <c r="C185" s="98"/>
      <c r="D185" s="99"/>
      <c r="E185" s="20">
        <f t="shared" ref="E185" si="117">E184</f>
        <v>3130.9333333333348</v>
      </c>
      <c r="F185" s="3"/>
      <c r="J185">
        <v>183</v>
      </c>
      <c r="K185" s="24" t="s">
        <v>226</v>
      </c>
      <c r="L185" s="23">
        <f t="shared" si="74"/>
        <v>106978.29365079383</v>
      </c>
      <c r="M185" s="23">
        <f t="shared" si="75"/>
        <v>94761.904761904763</v>
      </c>
      <c r="N185" s="23">
        <f t="shared" si="78"/>
        <v>12216.388888889065</v>
      </c>
      <c r="O185" s="23">
        <f t="shared" si="76"/>
        <v>22458571.428571753</v>
      </c>
    </row>
    <row r="186" spans="1:15" ht="18.600000000000001" thickBot="1" x14ac:dyDescent="0.5">
      <c r="A186" s="96" t="s">
        <v>18</v>
      </c>
      <c r="B186" s="96"/>
      <c r="C186" s="96"/>
      <c r="D186" s="96"/>
      <c r="E186" s="14">
        <f t="shared" ref="E186" si="118">12*H170</f>
        <v>108</v>
      </c>
      <c r="F186" s="3"/>
      <c r="J186">
        <v>184</v>
      </c>
      <c r="K186" s="24" t="s">
        <v>227</v>
      </c>
      <c r="L186" s="23">
        <f t="shared" si="74"/>
        <v>106926.96428571446</v>
      </c>
      <c r="M186" s="23">
        <f t="shared" si="75"/>
        <v>94761.904761904763</v>
      </c>
      <c r="N186" s="23">
        <f t="shared" si="78"/>
        <v>12165.059523809701</v>
      </c>
      <c r="O186" s="23">
        <f t="shared" si="76"/>
        <v>22363809.52380985</v>
      </c>
    </row>
    <row r="187" spans="1:15" ht="18.600000000000001" thickBot="1" x14ac:dyDescent="0.5">
      <c r="A187" s="3"/>
      <c r="B187" s="3"/>
      <c r="C187" s="3"/>
      <c r="D187" s="3"/>
      <c r="E187" s="3"/>
      <c r="F187" s="3"/>
      <c r="J187">
        <v>185</v>
      </c>
      <c r="K187" s="24" t="s">
        <v>228</v>
      </c>
      <c r="L187" s="23">
        <f t="shared" si="74"/>
        <v>106875.6349206351</v>
      </c>
      <c r="M187" s="23">
        <f t="shared" si="75"/>
        <v>94761.904761904763</v>
      </c>
      <c r="N187" s="23">
        <f t="shared" si="78"/>
        <v>12113.730158730337</v>
      </c>
      <c r="O187" s="23">
        <f t="shared" si="76"/>
        <v>22269047.619047947</v>
      </c>
    </row>
    <row r="188" spans="1:15" ht="18.600000000000001" thickBot="1" x14ac:dyDescent="0.5">
      <c r="A188" s="12" t="s">
        <v>19</v>
      </c>
      <c r="B188" s="12"/>
      <c r="C188" s="12"/>
      <c r="D188" s="12"/>
      <c r="E188" s="15">
        <f t="shared" ref="E188" si="119">-((E185-E183)/E186)</f>
        <v>12.663566909171234</v>
      </c>
      <c r="F188" s="3" t="s">
        <v>20</v>
      </c>
      <c r="J188">
        <v>186</v>
      </c>
      <c r="K188" s="24" t="s">
        <v>229</v>
      </c>
      <c r="L188" s="23">
        <f t="shared" si="74"/>
        <v>106824.30555555574</v>
      </c>
      <c r="M188" s="23">
        <f t="shared" si="75"/>
        <v>94761.904761904763</v>
      </c>
      <c r="N188" s="23">
        <f t="shared" si="78"/>
        <v>12062.400793650973</v>
      </c>
      <c r="O188" s="23">
        <f t="shared" si="76"/>
        <v>22174285.714286044</v>
      </c>
    </row>
    <row r="189" spans="1:15" x14ac:dyDescent="0.45">
      <c r="A189" s="3"/>
      <c r="B189" s="3"/>
      <c r="C189" s="3"/>
      <c r="D189" s="3"/>
      <c r="E189" s="3"/>
      <c r="F189" s="3"/>
      <c r="J189">
        <v>187</v>
      </c>
      <c r="K189" s="24" t="s">
        <v>230</v>
      </c>
      <c r="L189" s="23">
        <f t="shared" si="74"/>
        <v>106772.97619047637</v>
      </c>
      <c r="M189" s="23">
        <f t="shared" si="75"/>
        <v>94761.904761904763</v>
      </c>
      <c r="N189" s="23">
        <f t="shared" si="78"/>
        <v>12011.071428571609</v>
      </c>
      <c r="O189" s="23">
        <f t="shared" si="76"/>
        <v>22079523.809524141</v>
      </c>
    </row>
    <row r="190" spans="1:15" ht="18.600000000000001" thickBot="1" x14ac:dyDescent="0.5">
      <c r="A190" s="3"/>
      <c r="B190" s="3"/>
      <c r="D190" s="3"/>
      <c r="E190" s="3"/>
      <c r="F190" s="3"/>
      <c r="J190">
        <v>188</v>
      </c>
      <c r="K190" s="24" t="s">
        <v>231</v>
      </c>
      <c r="L190" s="23">
        <f t="shared" si="74"/>
        <v>106721.64682539701</v>
      </c>
      <c r="M190" s="23">
        <f t="shared" si="75"/>
        <v>94761.904761904763</v>
      </c>
      <c r="N190" s="23">
        <f t="shared" si="78"/>
        <v>11959.742063492244</v>
      </c>
      <c r="O190" s="23">
        <f t="shared" si="76"/>
        <v>21984761.904762238</v>
      </c>
    </row>
    <row r="191" spans="1:15" ht="18.600000000000001" thickBot="1" x14ac:dyDescent="0.5">
      <c r="A191" s="10" t="s">
        <v>4</v>
      </c>
      <c r="B191" s="3"/>
      <c r="C191" s="3"/>
      <c r="D191" s="3"/>
      <c r="E191" s="4" t="s">
        <v>1</v>
      </c>
      <c r="F191" s="4"/>
      <c r="G191" s="38" t="s">
        <v>508</v>
      </c>
      <c r="H191" s="42">
        <f t="shared" ref="H191" si="120">H170+1</f>
        <v>10</v>
      </c>
      <c r="I191" t="s">
        <v>509</v>
      </c>
      <c r="J191">
        <v>189</v>
      </c>
      <c r="K191" s="24" t="s">
        <v>232</v>
      </c>
      <c r="L191" s="23">
        <f t="shared" si="74"/>
        <v>106670.31746031764</v>
      </c>
      <c r="M191" s="23">
        <f t="shared" si="75"/>
        <v>94761.904761904763</v>
      </c>
      <c r="N191" s="23">
        <f t="shared" si="78"/>
        <v>11908.41269841288</v>
      </c>
      <c r="O191" s="23">
        <f t="shared" si="76"/>
        <v>21890000.000000335</v>
      </c>
    </row>
    <row r="192" spans="1:15" ht="18.600000000000001" thickBot="1" x14ac:dyDescent="0.5">
      <c r="A192" s="133" t="s">
        <v>5</v>
      </c>
      <c r="B192" s="133"/>
      <c r="C192" s="133"/>
      <c r="D192" s="133"/>
      <c r="E192" s="11" t="s">
        <v>0</v>
      </c>
      <c r="F192" s="3"/>
      <c r="G192" s="36" t="s">
        <v>464</v>
      </c>
      <c r="H192" s="37">
        <f t="shared" ref="H192:H197" si="121">H171</f>
        <v>3980</v>
      </c>
      <c r="I192" t="s">
        <v>465</v>
      </c>
      <c r="J192">
        <v>190</v>
      </c>
      <c r="K192" s="24" t="s">
        <v>233</v>
      </c>
      <c r="L192" s="23">
        <f t="shared" si="74"/>
        <v>106618.98809523828</v>
      </c>
      <c r="M192" s="23">
        <f t="shared" si="75"/>
        <v>94761.904761904763</v>
      </c>
      <c r="N192" s="23">
        <f t="shared" si="78"/>
        <v>11857.083333333516</v>
      </c>
      <c r="O192" s="23">
        <f t="shared" si="76"/>
        <v>21795238.095238432</v>
      </c>
    </row>
    <row r="193" spans="1:15" ht="18.600000000000001" thickBot="1" x14ac:dyDescent="0.5">
      <c r="A193" s="85"/>
      <c r="B193" s="87"/>
      <c r="C193" s="127" t="s">
        <v>3</v>
      </c>
      <c r="D193" s="128"/>
      <c r="E193" s="29">
        <f>IF(H195="",0,H195)</f>
        <v>0</v>
      </c>
      <c r="F193" s="3"/>
      <c r="G193" s="25" t="s">
        <v>466</v>
      </c>
      <c r="H193" s="43">
        <f t="shared" si="121"/>
        <v>0.65</v>
      </c>
      <c r="I193" t="s">
        <v>469</v>
      </c>
      <c r="J193">
        <v>191</v>
      </c>
      <c r="K193" s="24" t="s">
        <v>234</v>
      </c>
      <c r="L193" s="23">
        <f t="shared" si="74"/>
        <v>106567.65873015892</v>
      </c>
      <c r="M193" s="23">
        <f t="shared" si="75"/>
        <v>94761.904761904763</v>
      </c>
      <c r="N193" s="23">
        <f t="shared" si="78"/>
        <v>11805.753968254152</v>
      </c>
      <c r="O193" s="23">
        <f t="shared" si="76"/>
        <v>21700476.190476529</v>
      </c>
    </row>
    <row r="194" spans="1:15" ht="18.600000000000001" thickBot="1" x14ac:dyDescent="0.5">
      <c r="A194" s="86"/>
      <c r="B194" s="88"/>
      <c r="C194" s="127" t="s">
        <v>6</v>
      </c>
      <c r="D194" s="128"/>
      <c r="E194" s="19">
        <f>IF(H198="",$H$7*0.06,H198)</f>
        <v>238.79999999999998</v>
      </c>
      <c r="F194" s="3"/>
      <c r="G194" s="25" t="s">
        <v>467</v>
      </c>
      <c r="H194" s="37">
        <f t="shared" si="121"/>
        <v>35</v>
      </c>
      <c r="I194" t="s">
        <v>468</v>
      </c>
      <c r="J194">
        <v>192</v>
      </c>
      <c r="K194" s="24" t="s">
        <v>235</v>
      </c>
      <c r="L194" s="23">
        <f t="shared" si="74"/>
        <v>106516.32936507955</v>
      </c>
      <c r="M194" s="23">
        <f t="shared" si="75"/>
        <v>94761.904761904763</v>
      </c>
      <c r="N194" s="23">
        <f t="shared" si="78"/>
        <v>11754.424603174788</v>
      </c>
      <c r="O194" s="23">
        <f t="shared" si="76"/>
        <v>21605714.285714626</v>
      </c>
    </row>
    <row r="195" spans="1:15" ht="18.600000000000001" thickBot="1" x14ac:dyDescent="0.5">
      <c r="A195" s="86"/>
      <c r="B195" s="91" t="s">
        <v>7</v>
      </c>
      <c r="C195" s="92"/>
      <c r="D195" s="92"/>
      <c r="E195" s="19">
        <f>SUM(E193:E194)</f>
        <v>238.79999999999998</v>
      </c>
      <c r="F195" s="3"/>
      <c r="G195" s="28" t="s">
        <v>3</v>
      </c>
      <c r="H195" s="37">
        <f t="shared" si="121"/>
        <v>0</v>
      </c>
      <c r="I195" t="s">
        <v>465</v>
      </c>
      <c r="J195">
        <v>193</v>
      </c>
      <c r="K195" s="24" t="s">
        <v>236</v>
      </c>
      <c r="L195" s="23">
        <f t="shared" si="74"/>
        <v>106465.00000000019</v>
      </c>
      <c r="M195" s="23">
        <f t="shared" si="75"/>
        <v>94761.904761904763</v>
      </c>
      <c r="N195" s="23">
        <f t="shared" si="78"/>
        <v>11703.095238095424</v>
      </c>
      <c r="O195" s="23">
        <f t="shared" si="76"/>
        <v>21510952.380952723</v>
      </c>
    </row>
    <row r="196" spans="1:15" ht="18.600000000000001" thickBot="1" x14ac:dyDescent="0.5">
      <c r="A196" s="86"/>
      <c r="B196" s="7"/>
      <c r="C196" s="5" t="s">
        <v>8</v>
      </c>
      <c r="D196" s="5"/>
      <c r="E196" s="49">
        <f>_xlfn.SWITCH(H191,1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1359.193690476191</v>
      </c>
      <c r="F196" s="3"/>
      <c r="G196" s="28" t="s">
        <v>16</v>
      </c>
      <c r="H196" s="37">
        <f>真実の家賃!$I$8*AD12</f>
        <v>3024.8</v>
      </c>
      <c r="I196" t="s">
        <v>465</v>
      </c>
      <c r="J196">
        <v>194</v>
      </c>
      <c r="K196" s="24" t="s">
        <v>237</v>
      </c>
      <c r="L196" s="23">
        <f t="shared" si="74"/>
        <v>106413.67063492083</v>
      </c>
      <c r="M196" s="23">
        <f t="shared" si="75"/>
        <v>94761.904761904763</v>
      </c>
      <c r="N196" s="23">
        <f t="shared" si="78"/>
        <v>11651.76587301606</v>
      </c>
      <c r="O196" s="23">
        <f t="shared" si="76"/>
        <v>21416190.47619082</v>
      </c>
    </row>
    <row r="197" spans="1:15" ht="18.600000000000001" thickBot="1" x14ac:dyDescent="0.5">
      <c r="A197" s="86"/>
      <c r="B197" s="8"/>
      <c r="C197" s="127" t="s">
        <v>2</v>
      </c>
      <c r="D197" s="128"/>
      <c r="E197" s="19">
        <f>IF(H199="",H191*15,H199)</f>
        <v>150</v>
      </c>
      <c r="F197" s="3"/>
      <c r="G197" s="56" t="s">
        <v>573</v>
      </c>
      <c r="H197" s="40" t="str">
        <f t="shared" si="121"/>
        <v/>
      </c>
      <c r="I197" t="s">
        <v>465</v>
      </c>
      <c r="J197">
        <v>195</v>
      </c>
      <c r="K197" s="24" t="s">
        <v>238</v>
      </c>
      <c r="L197" s="23">
        <f t="shared" si="74"/>
        <v>106362.34126984146</v>
      </c>
      <c r="M197" s="23">
        <f t="shared" si="75"/>
        <v>94761.904761904763</v>
      </c>
      <c r="N197" s="23">
        <f t="shared" si="78"/>
        <v>11600.436507936696</v>
      </c>
      <c r="O197" s="23">
        <f t="shared" si="76"/>
        <v>21321428.571428917</v>
      </c>
    </row>
    <row r="198" spans="1:15" ht="18.600000000000001" thickBot="1" x14ac:dyDescent="0.5">
      <c r="A198" s="86"/>
      <c r="B198" s="8"/>
      <c r="C198" s="129" t="s">
        <v>9</v>
      </c>
      <c r="D198" s="129"/>
      <c r="E198" s="19">
        <f>_xlfn.SWITCH(H191,1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-234.82000000000079</v>
      </c>
      <c r="F198" s="3"/>
      <c r="G198" s="34" t="s">
        <v>6</v>
      </c>
      <c r="H198" s="40" t="str">
        <f t="shared" si="89"/>
        <v/>
      </c>
      <c r="I198" t="s">
        <v>465</v>
      </c>
      <c r="J198">
        <v>196</v>
      </c>
      <c r="K198" s="24" t="s">
        <v>239</v>
      </c>
      <c r="L198" s="23">
        <f t="shared" ref="L198:L261" si="122">IF(O197&lt;=0,0,(M198+N198))</f>
        <v>106311.0119047621</v>
      </c>
      <c r="M198" s="23">
        <f t="shared" ref="M198:M261" si="123">IF(O197&lt;=0,0,(($H$3*10000)/($H$5*12)))</f>
        <v>94761.904761904763</v>
      </c>
      <c r="N198" s="23">
        <f t="shared" si="78"/>
        <v>11549.107142857332</v>
      </c>
      <c r="O198" s="23">
        <f t="shared" ref="O198:O261" si="124">IF(O197&lt;=0,0,(O197-M198))</f>
        <v>21226666.666667014</v>
      </c>
    </row>
    <row r="199" spans="1:15" ht="18.600000000000001" thickBot="1" x14ac:dyDescent="0.5">
      <c r="A199" s="86"/>
      <c r="B199" s="8"/>
      <c r="C199" s="130" t="s">
        <v>10</v>
      </c>
      <c r="D199" s="131"/>
      <c r="E199" s="49">
        <f>IF(H197="",$Z$3,H191*H197)</f>
        <v>0</v>
      </c>
      <c r="F199" s="3"/>
      <c r="G199" s="28" t="s">
        <v>560</v>
      </c>
      <c r="H199" s="40" t="str">
        <f t="shared" si="89"/>
        <v/>
      </c>
      <c r="I199" t="s">
        <v>465</v>
      </c>
      <c r="J199">
        <v>197</v>
      </c>
      <c r="K199" s="24" t="s">
        <v>240</v>
      </c>
      <c r="L199" s="23">
        <f t="shared" si="122"/>
        <v>106259.68253968273</v>
      </c>
      <c r="M199" s="23">
        <f t="shared" si="123"/>
        <v>94761.904761904763</v>
      </c>
      <c r="N199" s="23">
        <f t="shared" ref="N199:N262" si="125">IF(O198&lt;=0,0,(O198*($H$4/100)/12))</f>
        <v>11497.777777777968</v>
      </c>
      <c r="O199" s="23">
        <f t="shared" si="124"/>
        <v>21131904.761905111</v>
      </c>
    </row>
    <row r="200" spans="1:15" ht="18.600000000000001" thickBot="1" x14ac:dyDescent="0.5">
      <c r="A200" s="86"/>
      <c r="B200" s="132" t="s">
        <v>11</v>
      </c>
      <c r="C200" s="126"/>
      <c r="D200" s="126"/>
      <c r="E200" s="19">
        <f>SUM(E196:E199)</f>
        <v>1274.3736904761902</v>
      </c>
      <c r="F200" s="3"/>
      <c r="G200" s="33" t="s">
        <v>561</v>
      </c>
      <c r="H200" s="41" t="str">
        <f t="shared" si="89"/>
        <v/>
      </c>
      <c r="I200" t="s">
        <v>465</v>
      </c>
      <c r="J200">
        <v>198</v>
      </c>
      <c r="K200" s="24" t="s">
        <v>241</v>
      </c>
      <c r="L200" s="23">
        <f t="shared" si="122"/>
        <v>106208.35317460337</v>
      </c>
      <c r="M200" s="23">
        <f t="shared" si="123"/>
        <v>94761.904761904763</v>
      </c>
      <c r="N200" s="23">
        <f t="shared" si="125"/>
        <v>11446.448412698604</v>
      </c>
      <c r="O200" s="23">
        <f t="shared" si="124"/>
        <v>21037142.857143208</v>
      </c>
    </row>
    <row r="201" spans="1:15" ht="18.600000000000001" thickBot="1" x14ac:dyDescent="0.5">
      <c r="A201" s="86"/>
      <c r="B201" s="7"/>
      <c r="C201" s="127" t="s">
        <v>12</v>
      </c>
      <c r="D201" s="128"/>
      <c r="E201" s="19">
        <f>_xlfn.SWITCH(H191,1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2842.857142857164</v>
      </c>
      <c r="F201" s="3"/>
      <c r="G201" s="30"/>
      <c r="J201">
        <v>199</v>
      </c>
      <c r="K201" s="24" t="s">
        <v>242</v>
      </c>
      <c r="L201" s="23">
        <f t="shared" si="122"/>
        <v>106157.02380952401</v>
      </c>
      <c r="M201" s="23">
        <f t="shared" si="123"/>
        <v>94761.904761904763</v>
      </c>
      <c r="N201" s="23">
        <f t="shared" si="125"/>
        <v>11395.119047619241</v>
      </c>
      <c r="O201" s="23">
        <f t="shared" si="124"/>
        <v>20942380.952381305</v>
      </c>
    </row>
    <row r="202" spans="1:15" ht="18.600000000000001" thickBot="1" x14ac:dyDescent="0.5">
      <c r="A202" s="86"/>
      <c r="B202" s="8"/>
      <c r="C202" s="127" t="s">
        <v>13</v>
      </c>
      <c r="D202" s="128"/>
      <c r="E202" s="19">
        <f>IF(H200="",H196*0.05,H200)</f>
        <v>151.24</v>
      </c>
      <c r="F202" s="3"/>
      <c r="G202" s="30"/>
      <c r="J202">
        <v>200</v>
      </c>
      <c r="K202" s="24" t="s">
        <v>243</v>
      </c>
      <c r="L202" s="23">
        <f t="shared" si="122"/>
        <v>106105.69444444464</v>
      </c>
      <c r="M202" s="23">
        <f t="shared" si="123"/>
        <v>94761.904761904763</v>
      </c>
      <c r="N202" s="23">
        <f t="shared" si="125"/>
        <v>11343.789682539873</v>
      </c>
      <c r="O202" s="23">
        <f t="shared" si="124"/>
        <v>20847619.047619402</v>
      </c>
    </row>
    <row r="203" spans="1:15" ht="18.600000000000001" thickBot="1" x14ac:dyDescent="0.5">
      <c r="A203" s="86"/>
      <c r="B203" s="132" t="s">
        <v>14</v>
      </c>
      <c r="C203" s="126"/>
      <c r="D203" s="126"/>
      <c r="E203" s="19">
        <f>SUM(E201:E202)</f>
        <v>2994.0971428571638</v>
      </c>
      <c r="F203" s="3"/>
      <c r="G203" s="30"/>
      <c r="J203">
        <v>201</v>
      </c>
      <c r="K203" s="24" t="s">
        <v>244</v>
      </c>
      <c r="L203" s="23">
        <f t="shared" si="122"/>
        <v>106054.36507936528</v>
      </c>
      <c r="M203" s="23">
        <f t="shared" si="123"/>
        <v>94761.904761904763</v>
      </c>
      <c r="N203" s="23">
        <f t="shared" si="125"/>
        <v>11292.460317460509</v>
      </c>
      <c r="O203" s="23">
        <f t="shared" si="124"/>
        <v>20752857.142857499</v>
      </c>
    </row>
    <row r="204" spans="1:15" ht="18.600000000000001" thickBot="1" x14ac:dyDescent="0.5">
      <c r="A204" s="97" t="s">
        <v>15</v>
      </c>
      <c r="B204" s="98"/>
      <c r="C204" s="98"/>
      <c r="D204" s="99"/>
      <c r="E204" s="20">
        <f t="shared" ref="E204" si="126">E195+E200+E203</f>
        <v>4507.2708333333539</v>
      </c>
      <c r="F204" s="3"/>
      <c r="J204">
        <v>202</v>
      </c>
      <c r="K204" s="24" t="s">
        <v>245</v>
      </c>
      <c r="L204" s="23">
        <f t="shared" si="122"/>
        <v>106003.03571428591</v>
      </c>
      <c r="M204" s="23">
        <f t="shared" si="123"/>
        <v>94761.904761904763</v>
      </c>
      <c r="N204" s="23">
        <f t="shared" si="125"/>
        <v>11241.130952381145</v>
      </c>
      <c r="O204" s="23">
        <f t="shared" si="124"/>
        <v>20658095.238095596</v>
      </c>
    </row>
    <row r="205" spans="1:15" ht="18.600000000000001" thickBot="1" x14ac:dyDescent="0.5">
      <c r="A205" s="6"/>
      <c r="B205" s="126" t="s">
        <v>16</v>
      </c>
      <c r="C205" s="126"/>
      <c r="D205" s="126"/>
      <c r="E205" s="19">
        <f>H196</f>
        <v>3024.8</v>
      </c>
      <c r="F205" s="3"/>
      <c r="J205">
        <v>203</v>
      </c>
      <c r="K205" s="24" t="s">
        <v>246</v>
      </c>
      <c r="L205" s="23">
        <f t="shared" si="122"/>
        <v>105951.70634920655</v>
      </c>
      <c r="M205" s="23">
        <f t="shared" si="123"/>
        <v>94761.904761904763</v>
      </c>
      <c r="N205" s="23">
        <f t="shared" si="125"/>
        <v>11189.801587301781</v>
      </c>
      <c r="O205" s="23">
        <f t="shared" si="124"/>
        <v>20563333.333333693</v>
      </c>
    </row>
    <row r="206" spans="1:15" ht="18.600000000000001" thickBot="1" x14ac:dyDescent="0.5">
      <c r="A206" s="97" t="s">
        <v>17</v>
      </c>
      <c r="B206" s="98"/>
      <c r="C206" s="98"/>
      <c r="D206" s="99"/>
      <c r="E206" s="20">
        <f t="shared" ref="E206" si="127">E205</f>
        <v>3024.8</v>
      </c>
      <c r="F206" s="3"/>
      <c r="J206">
        <v>204</v>
      </c>
      <c r="K206" s="24" t="s">
        <v>247</v>
      </c>
      <c r="L206" s="23">
        <f t="shared" si="122"/>
        <v>105900.37698412719</v>
      </c>
      <c r="M206" s="23">
        <f t="shared" si="123"/>
        <v>94761.904761904763</v>
      </c>
      <c r="N206" s="23">
        <f t="shared" si="125"/>
        <v>11138.472222222417</v>
      </c>
      <c r="O206" s="23">
        <f t="shared" si="124"/>
        <v>20468571.42857179</v>
      </c>
    </row>
    <row r="207" spans="1:15" ht="18.600000000000001" thickBot="1" x14ac:dyDescent="0.5">
      <c r="A207" s="96" t="s">
        <v>18</v>
      </c>
      <c r="B207" s="96"/>
      <c r="C207" s="96"/>
      <c r="D207" s="96"/>
      <c r="E207" s="14">
        <f t="shared" ref="E207" si="128">12*H191</f>
        <v>120</v>
      </c>
      <c r="F207" s="3"/>
      <c r="J207">
        <v>205</v>
      </c>
      <c r="K207" s="24" t="s">
        <v>248</v>
      </c>
      <c r="L207" s="23">
        <f t="shared" si="122"/>
        <v>105849.04761904782</v>
      </c>
      <c r="M207" s="23">
        <f t="shared" si="123"/>
        <v>94761.904761904763</v>
      </c>
      <c r="N207" s="23">
        <f t="shared" si="125"/>
        <v>11087.142857143053</v>
      </c>
      <c r="O207" s="23">
        <f t="shared" si="124"/>
        <v>20373809.523809887</v>
      </c>
    </row>
    <row r="208" spans="1:15" ht="18.600000000000001" thickBot="1" x14ac:dyDescent="0.5">
      <c r="A208" s="3"/>
      <c r="B208" s="3"/>
      <c r="C208" s="3"/>
      <c r="D208" s="3"/>
      <c r="E208" s="3"/>
      <c r="F208" s="3"/>
      <c r="J208">
        <v>206</v>
      </c>
      <c r="K208" s="24" t="s">
        <v>249</v>
      </c>
      <c r="L208" s="23">
        <f t="shared" si="122"/>
        <v>105797.71825396846</v>
      </c>
      <c r="M208" s="23">
        <f t="shared" si="123"/>
        <v>94761.904761904763</v>
      </c>
      <c r="N208" s="23">
        <f t="shared" si="125"/>
        <v>11035.813492063689</v>
      </c>
      <c r="O208" s="23">
        <f t="shared" si="124"/>
        <v>20279047.619047984</v>
      </c>
    </row>
    <row r="209" spans="1:15" ht="18.600000000000001" thickBot="1" x14ac:dyDescent="0.5">
      <c r="A209" s="12" t="s">
        <v>19</v>
      </c>
      <c r="B209" s="12"/>
      <c r="C209" s="12"/>
      <c r="D209" s="12"/>
      <c r="E209" s="15">
        <f t="shared" ref="E209" si="129">-((E206-E204)/E207)</f>
        <v>12.353923611111281</v>
      </c>
      <c r="F209" s="3" t="s">
        <v>20</v>
      </c>
      <c r="J209">
        <v>207</v>
      </c>
      <c r="K209" s="24" t="s">
        <v>250</v>
      </c>
      <c r="L209" s="23">
        <f t="shared" si="122"/>
        <v>105746.38888888909</v>
      </c>
      <c r="M209" s="23">
        <f t="shared" si="123"/>
        <v>94761.904761904763</v>
      </c>
      <c r="N209" s="23">
        <f t="shared" si="125"/>
        <v>10984.484126984325</v>
      </c>
      <c r="O209" s="23">
        <f t="shared" si="124"/>
        <v>20184285.714286081</v>
      </c>
    </row>
    <row r="210" spans="1:15" x14ac:dyDescent="0.45">
      <c r="A210" s="3"/>
      <c r="B210" s="3"/>
      <c r="C210" s="3"/>
      <c r="D210" s="3"/>
      <c r="E210" s="3"/>
      <c r="F210" s="3"/>
      <c r="J210">
        <v>208</v>
      </c>
      <c r="K210" s="24" t="s">
        <v>251</v>
      </c>
      <c r="L210" s="23">
        <f t="shared" si="122"/>
        <v>105695.05952380973</v>
      </c>
      <c r="M210" s="23">
        <f t="shared" si="123"/>
        <v>94761.904761904763</v>
      </c>
      <c r="N210" s="23">
        <f t="shared" si="125"/>
        <v>10933.154761904962</v>
      </c>
      <c r="O210" s="23">
        <f t="shared" si="124"/>
        <v>20089523.809524179</v>
      </c>
    </row>
    <row r="211" spans="1:15" ht="18.600000000000001" thickBot="1" x14ac:dyDescent="0.5">
      <c r="A211" s="3"/>
      <c r="B211" s="3"/>
      <c r="D211" s="3"/>
      <c r="E211" s="3"/>
      <c r="F211" s="3"/>
      <c r="J211">
        <v>209</v>
      </c>
      <c r="K211" s="24" t="s">
        <v>252</v>
      </c>
      <c r="L211" s="23">
        <f t="shared" si="122"/>
        <v>105643.73015873037</v>
      </c>
      <c r="M211" s="23">
        <f t="shared" si="123"/>
        <v>94761.904761904763</v>
      </c>
      <c r="N211" s="23">
        <f t="shared" si="125"/>
        <v>10881.825396825598</v>
      </c>
      <c r="O211" s="23">
        <f t="shared" si="124"/>
        <v>19994761.904762276</v>
      </c>
    </row>
    <row r="212" spans="1:15" ht="18.600000000000001" thickBot="1" x14ac:dyDescent="0.5">
      <c r="A212" s="10" t="s">
        <v>4</v>
      </c>
      <c r="B212" s="3"/>
      <c r="C212" s="3"/>
      <c r="D212" s="3"/>
      <c r="E212" s="4" t="s">
        <v>1</v>
      </c>
      <c r="F212" s="4"/>
      <c r="G212" s="38" t="s">
        <v>508</v>
      </c>
      <c r="H212" s="42">
        <f t="shared" ref="H212" si="130">H191+1</f>
        <v>11</v>
      </c>
      <c r="I212" t="s">
        <v>509</v>
      </c>
      <c r="J212">
        <v>210</v>
      </c>
      <c r="K212" s="24" t="s">
        <v>253</v>
      </c>
      <c r="L212" s="23">
        <f t="shared" si="122"/>
        <v>105592.400793651</v>
      </c>
      <c r="M212" s="23">
        <f t="shared" si="123"/>
        <v>94761.904761904763</v>
      </c>
      <c r="N212" s="23">
        <f t="shared" si="125"/>
        <v>10830.496031746234</v>
      </c>
      <c r="O212" s="23">
        <f t="shared" si="124"/>
        <v>19900000.000000373</v>
      </c>
    </row>
    <row r="213" spans="1:15" ht="18.600000000000001" thickBot="1" x14ac:dyDescent="0.5">
      <c r="A213" s="133" t="s">
        <v>5</v>
      </c>
      <c r="B213" s="133"/>
      <c r="C213" s="133"/>
      <c r="D213" s="133"/>
      <c r="E213" s="11" t="s">
        <v>0</v>
      </c>
      <c r="F213" s="3"/>
      <c r="G213" s="36" t="s">
        <v>464</v>
      </c>
      <c r="H213" s="37">
        <f t="shared" ref="H213:H218" si="131">H192</f>
        <v>3980</v>
      </c>
      <c r="I213" t="s">
        <v>465</v>
      </c>
      <c r="J213">
        <v>211</v>
      </c>
      <c r="K213" s="24" t="s">
        <v>254</v>
      </c>
      <c r="L213" s="23">
        <f t="shared" si="122"/>
        <v>105541.07142857164</v>
      </c>
      <c r="M213" s="23">
        <f t="shared" si="123"/>
        <v>94761.904761904763</v>
      </c>
      <c r="N213" s="23">
        <f t="shared" si="125"/>
        <v>10779.16666666687</v>
      </c>
      <c r="O213" s="23">
        <f t="shared" si="124"/>
        <v>19805238.09523847</v>
      </c>
    </row>
    <row r="214" spans="1:15" ht="18.600000000000001" thickBot="1" x14ac:dyDescent="0.5">
      <c r="A214" s="85"/>
      <c r="B214" s="87"/>
      <c r="C214" s="127" t="s">
        <v>3</v>
      </c>
      <c r="D214" s="128"/>
      <c r="E214" s="29">
        <f t="shared" ref="E214" si="132">IF(H216="",0,H216)</f>
        <v>0</v>
      </c>
      <c r="F214" s="3"/>
      <c r="G214" s="25" t="s">
        <v>466</v>
      </c>
      <c r="H214" s="43">
        <f t="shared" si="131"/>
        <v>0.65</v>
      </c>
      <c r="I214" t="s">
        <v>469</v>
      </c>
      <c r="J214">
        <v>212</v>
      </c>
      <c r="K214" s="24" t="s">
        <v>255</v>
      </c>
      <c r="L214" s="23">
        <f t="shared" si="122"/>
        <v>105489.74206349227</v>
      </c>
      <c r="M214" s="23">
        <f t="shared" si="123"/>
        <v>94761.904761904763</v>
      </c>
      <c r="N214" s="23">
        <f t="shared" si="125"/>
        <v>10727.837301587506</v>
      </c>
      <c r="O214" s="23">
        <f t="shared" si="124"/>
        <v>19710476.190476567</v>
      </c>
    </row>
    <row r="215" spans="1:15" ht="18.600000000000001" thickBot="1" x14ac:dyDescent="0.5">
      <c r="A215" s="86"/>
      <c r="B215" s="88"/>
      <c r="C215" s="127" t="s">
        <v>6</v>
      </c>
      <c r="D215" s="128"/>
      <c r="E215" s="19">
        <f>IF(H219="",$H$7*0.06,H219)</f>
        <v>238.79999999999998</v>
      </c>
      <c r="F215" s="3"/>
      <c r="G215" s="25" t="s">
        <v>467</v>
      </c>
      <c r="H215" s="37">
        <f t="shared" si="131"/>
        <v>35</v>
      </c>
      <c r="I215" t="s">
        <v>468</v>
      </c>
      <c r="J215">
        <v>213</v>
      </c>
      <c r="K215" s="24" t="s">
        <v>256</v>
      </c>
      <c r="L215" s="23">
        <f t="shared" si="122"/>
        <v>105438.41269841291</v>
      </c>
      <c r="M215" s="23">
        <f t="shared" si="123"/>
        <v>94761.904761904763</v>
      </c>
      <c r="N215" s="23">
        <f t="shared" si="125"/>
        <v>10676.507936508142</v>
      </c>
      <c r="O215" s="23">
        <f t="shared" si="124"/>
        <v>19615714.285714664</v>
      </c>
    </row>
    <row r="216" spans="1:15" ht="18.600000000000001" thickBot="1" x14ac:dyDescent="0.5">
      <c r="A216" s="86"/>
      <c r="B216" s="91" t="s">
        <v>7</v>
      </c>
      <c r="C216" s="92"/>
      <c r="D216" s="92"/>
      <c r="E216" s="19">
        <f t="shared" ref="E216" si="133">SUM(E214:E215)</f>
        <v>238.79999999999998</v>
      </c>
      <c r="F216" s="3"/>
      <c r="G216" s="28" t="s">
        <v>3</v>
      </c>
      <c r="H216" s="37">
        <f t="shared" si="131"/>
        <v>0</v>
      </c>
      <c r="I216" t="s">
        <v>465</v>
      </c>
      <c r="J216">
        <v>214</v>
      </c>
      <c r="K216" s="24" t="s">
        <v>257</v>
      </c>
      <c r="L216" s="23">
        <f t="shared" si="122"/>
        <v>105387.08333333355</v>
      </c>
      <c r="M216" s="23">
        <f t="shared" si="123"/>
        <v>94761.904761904763</v>
      </c>
      <c r="N216" s="23">
        <f t="shared" si="125"/>
        <v>10625.178571428778</v>
      </c>
      <c r="O216" s="23">
        <f t="shared" si="124"/>
        <v>19520952.380952761</v>
      </c>
    </row>
    <row r="217" spans="1:15" ht="18.600000000000001" thickBot="1" x14ac:dyDescent="0.5">
      <c r="A217" s="86"/>
      <c r="B217" s="7"/>
      <c r="C217" s="5" t="s">
        <v>8</v>
      </c>
      <c r="D217" s="5"/>
      <c r="E217" s="49">
        <f t="shared" ref="E217" si="134">_xlfn.SWITCH(H212,1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1491.0477738095246</v>
      </c>
      <c r="F217" s="3"/>
      <c r="G217" s="28" t="s">
        <v>16</v>
      </c>
      <c r="H217" s="37">
        <f>真実の家賃!$I$8*AD13</f>
        <v>2967.3111111111111</v>
      </c>
      <c r="I217" t="s">
        <v>465</v>
      </c>
      <c r="J217">
        <v>215</v>
      </c>
      <c r="K217" s="24" t="s">
        <v>258</v>
      </c>
      <c r="L217" s="23">
        <f t="shared" si="122"/>
        <v>105335.75396825418</v>
      </c>
      <c r="M217" s="23">
        <f t="shared" si="123"/>
        <v>94761.904761904763</v>
      </c>
      <c r="N217" s="23">
        <f t="shared" si="125"/>
        <v>10573.849206349414</v>
      </c>
      <c r="O217" s="23">
        <f t="shared" si="124"/>
        <v>19426190.476190858</v>
      </c>
    </row>
    <row r="218" spans="1:15" ht="18.600000000000001" thickBot="1" x14ac:dyDescent="0.5">
      <c r="A218" s="86"/>
      <c r="B218" s="8"/>
      <c r="C218" s="127" t="s">
        <v>2</v>
      </c>
      <c r="D218" s="128"/>
      <c r="E218" s="19">
        <f t="shared" ref="E218" si="135">IF(H220="",H212*15,H220)</f>
        <v>165</v>
      </c>
      <c r="F218" s="3"/>
      <c r="G218" s="56" t="s">
        <v>573</v>
      </c>
      <c r="H218" s="40" t="str">
        <f t="shared" si="131"/>
        <v/>
      </c>
      <c r="I218" t="s">
        <v>465</v>
      </c>
      <c r="J218">
        <v>216</v>
      </c>
      <c r="K218" s="24" t="s">
        <v>259</v>
      </c>
      <c r="L218" s="23">
        <f t="shared" si="122"/>
        <v>105284.42460317482</v>
      </c>
      <c r="M218" s="23">
        <f t="shared" si="123"/>
        <v>94761.904761904763</v>
      </c>
      <c r="N218" s="23">
        <f t="shared" si="125"/>
        <v>10522.519841270048</v>
      </c>
      <c r="O218" s="23">
        <f t="shared" si="124"/>
        <v>19331428.571428955</v>
      </c>
    </row>
    <row r="219" spans="1:15" ht="18.600000000000001" thickBot="1" x14ac:dyDescent="0.5">
      <c r="A219" s="86"/>
      <c r="B219" s="8"/>
      <c r="C219" s="129" t="s">
        <v>9</v>
      </c>
      <c r="D219" s="129"/>
      <c r="E219" s="19">
        <f t="shared" ref="E219" si="136">_xlfn.SWITCH(H212,1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-253.92400000000094</v>
      </c>
      <c r="F219" s="3"/>
      <c r="G219" s="34" t="s">
        <v>6</v>
      </c>
      <c r="H219" s="40" t="str">
        <f t="shared" si="105"/>
        <v/>
      </c>
      <c r="I219" t="s">
        <v>465</v>
      </c>
      <c r="J219">
        <v>217</v>
      </c>
      <c r="K219" s="24" t="s">
        <v>260</v>
      </c>
      <c r="L219" s="23">
        <f t="shared" si="122"/>
        <v>105233.09523809544</v>
      </c>
      <c r="M219" s="23">
        <f t="shared" si="123"/>
        <v>94761.904761904763</v>
      </c>
      <c r="N219" s="23">
        <f t="shared" si="125"/>
        <v>10471.190476190684</v>
      </c>
      <c r="O219" s="23">
        <f t="shared" si="124"/>
        <v>19236666.666667052</v>
      </c>
    </row>
    <row r="220" spans="1:15" ht="18.600000000000001" thickBot="1" x14ac:dyDescent="0.5">
      <c r="A220" s="86"/>
      <c r="B220" s="8"/>
      <c r="C220" s="130" t="s">
        <v>10</v>
      </c>
      <c r="D220" s="131"/>
      <c r="E220" s="49">
        <f t="shared" ref="E220" si="137">IF(H218="",$Z$3,H212*H218)</f>
        <v>0</v>
      </c>
      <c r="F220" s="3"/>
      <c r="G220" s="28" t="s">
        <v>560</v>
      </c>
      <c r="H220" s="40" t="str">
        <f t="shared" si="105"/>
        <v/>
      </c>
      <c r="I220" t="s">
        <v>465</v>
      </c>
      <c r="J220">
        <v>218</v>
      </c>
      <c r="K220" s="24" t="s">
        <v>261</v>
      </c>
      <c r="L220" s="23">
        <f t="shared" si="122"/>
        <v>105181.76587301609</v>
      </c>
      <c r="M220" s="23">
        <f t="shared" si="123"/>
        <v>94761.904761904763</v>
      </c>
      <c r="N220" s="23">
        <f t="shared" si="125"/>
        <v>10419.86111111132</v>
      </c>
      <c r="O220" s="23">
        <f t="shared" si="124"/>
        <v>19141904.761905149</v>
      </c>
    </row>
    <row r="221" spans="1:15" ht="18.600000000000001" thickBot="1" x14ac:dyDescent="0.5">
      <c r="A221" s="86"/>
      <c r="B221" s="132" t="s">
        <v>11</v>
      </c>
      <c r="C221" s="126"/>
      <c r="D221" s="126"/>
      <c r="E221" s="19">
        <f t="shared" ref="E221" si="138">SUM(E217:E220)</f>
        <v>1402.1237738095238</v>
      </c>
      <c r="F221" s="3"/>
      <c r="G221" s="33" t="s">
        <v>561</v>
      </c>
      <c r="H221" s="41" t="str">
        <f t="shared" si="105"/>
        <v/>
      </c>
      <c r="I221" t="s">
        <v>465</v>
      </c>
      <c r="J221">
        <v>219</v>
      </c>
      <c r="K221" s="24" t="s">
        <v>262</v>
      </c>
      <c r="L221" s="23">
        <f t="shared" si="122"/>
        <v>105130.43650793671</v>
      </c>
      <c r="M221" s="23">
        <f t="shared" si="123"/>
        <v>94761.904761904763</v>
      </c>
      <c r="N221" s="23">
        <f t="shared" si="125"/>
        <v>10368.531746031957</v>
      </c>
      <c r="O221" s="23">
        <f t="shared" si="124"/>
        <v>19047142.857143246</v>
      </c>
    </row>
    <row r="222" spans="1:15" ht="18.600000000000001" thickBot="1" x14ac:dyDescent="0.5">
      <c r="A222" s="86"/>
      <c r="B222" s="7"/>
      <c r="C222" s="127" t="s">
        <v>12</v>
      </c>
      <c r="D222" s="128"/>
      <c r="E222" s="19">
        <f t="shared" ref="E222" si="139">_xlfn.SWITCH(H212,1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2729.1428571428805</v>
      </c>
      <c r="F222" s="3"/>
      <c r="G222" s="30"/>
      <c r="J222">
        <v>220</v>
      </c>
      <c r="K222" s="24" t="s">
        <v>263</v>
      </c>
      <c r="L222" s="23">
        <f t="shared" si="122"/>
        <v>105079.10714285736</v>
      </c>
      <c r="M222" s="23">
        <f t="shared" si="123"/>
        <v>94761.904761904763</v>
      </c>
      <c r="N222" s="23">
        <f t="shared" si="125"/>
        <v>10317.202380952593</v>
      </c>
      <c r="O222" s="23">
        <f t="shared" si="124"/>
        <v>18952380.952381343</v>
      </c>
    </row>
    <row r="223" spans="1:15" ht="18.600000000000001" thickBot="1" x14ac:dyDescent="0.5">
      <c r="A223" s="86"/>
      <c r="B223" s="8"/>
      <c r="C223" s="127" t="s">
        <v>13</v>
      </c>
      <c r="D223" s="128"/>
      <c r="E223" s="19">
        <f>IF(H221="",H217*0.05,H221)</f>
        <v>148.36555555555557</v>
      </c>
      <c r="F223" s="3"/>
      <c r="G223" s="30"/>
      <c r="J223">
        <v>221</v>
      </c>
      <c r="K223" s="24" t="s">
        <v>264</v>
      </c>
      <c r="L223" s="23">
        <f t="shared" si="122"/>
        <v>105027.77777777798</v>
      </c>
      <c r="M223" s="23">
        <f t="shared" si="123"/>
        <v>94761.904761904763</v>
      </c>
      <c r="N223" s="23">
        <f t="shared" si="125"/>
        <v>10265.873015873229</v>
      </c>
      <c r="O223" s="23">
        <f t="shared" si="124"/>
        <v>18857619.04761944</v>
      </c>
    </row>
    <row r="224" spans="1:15" ht="18.600000000000001" thickBot="1" x14ac:dyDescent="0.5">
      <c r="A224" s="86"/>
      <c r="B224" s="132" t="s">
        <v>14</v>
      </c>
      <c r="C224" s="126"/>
      <c r="D224" s="126"/>
      <c r="E224" s="19">
        <f t="shared" ref="E224" si="140">SUM(E222:E223)</f>
        <v>2877.5084126984361</v>
      </c>
      <c r="F224" s="3"/>
      <c r="G224" s="30"/>
      <c r="J224">
        <v>222</v>
      </c>
      <c r="K224" s="24" t="s">
        <v>265</v>
      </c>
      <c r="L224" s="23">
        <f t="shared" si="122"/>
        <v>104976.44841269862</v>
      </c>
      <c r="M224" s="23">
        <f t="shared" si="123"/>
        <v>94761.904761904763</v>
      </c>
      <c r="N224" s="23">
        <f t="shared" si="125"/>
        <v>10214.543650793863</v>
      </c>
      <c r="O224" s="23">
        <f t="shared" si="124"/>
        <v>18762857.142857537</v>
      </c>
    </row>
    <row r="225" spans="1:15" ht="18.600000000000001" thickBot="1" x14ac:dyDescent="0.5">
      <c r="A225" s="97" t="s">
        <v>15</v>
      </c>
      <c r="B225" s="98"/>
      <c r="C225" s="98"/>
      <c r="D225" s="99"/>
      <c r="E225" s="20">
        <f t="shared" ref="E225" si="141">E216+E221+E224</f>
        <v>4518.4321865079601</v>
      </c>
      <c r="F225" s="3"/>
      <c r="J225">
        <v>223</v>
      </c>
      <c r="K225" s="24" t="s">
        <v>266</v>
      </c>
      <c r="L225" s="23">
        <f t="shared" si="122"/>
        <v>104925.11904761926</v>
      </c>
      <c r="M225" s="23">
        <f t="shared" si="123"/>
        <v>94761.904761904763</v>
      </c>
      <c r="N225" s="23">
        <f t="shared" si="125"/>
        <v>10163.214285714499</v>
      </c>
      <c r="O225" s="23">
        <f t="shared" si="124"/>
        <v>18668095.238095634</v>
      </c>
    </row>
    <row r="226" spans="1:15" ht="18.600000000000001" thickBot="1" x14ac:dyDescent="0.5">
      <c r="A226" s="6"/>
      <c r="B226" s="126" t="s">
        <v>16</v>
      </c>
      <c r="C226" s="126"/>
      <c r="D226" s="126"/>
      <c r="E226" s="19">
        <f t="shared" ref="E226" si="142">H217</f>
        <v>2967.3111111111111</v>
      </c>
      <c r="F226" s="3"/>
      <c r="J226">
        <v>224</v>
      </c>
      <c r="K226" s="24" t="s">
        <v>267</v>
      </c>
      <c r="L226" s="23">
        <f t="shared" si="122"/>
        <v>104873.78968253989</v>
      </c>
      <c r="M226" s="23">
        <f t="shared" si="123"/>
        <v>94761.904761904763</v>
      </c>
      <c r="N226" s="23">
        <f t="shared" si="125"/>
        <v>10111.884920635135</v>
      </c>
      <c r="O226" s="23">
        <f t="shared" si="124"/>
        <v>18573333.333333731</v>
      </c>
    </row>
    <row r="227" spans="1:15" ht="18.600000000000001" thickBot="1" x14ac:dyDescent="0.5">
      <c r="A227" s="97" t="s">
        <v>17</v>
      </c>
      <c r="B227" s="98"/>
      <c r="C227" s="98"/>
      <c r="D227" s="99"/>
      <c r="E227" s="20">
        <f t="shared" ref="E227" si="143">E226</f>
        <v>2967.3111111111111</v>
      </c>
      <c r="F227" s="3"/>
      <c r="J227">
        <v>225</v>
      </c>
      <c r="K227" s="24" t="s">
        <v>268</v>
      </c>
      <c r="L227" s="23">
        <f t="shared" si="122"/>
        <v>104822.46031746053</v>
      </c>
      <c r="M227" s="23">
        <f t="shared" si="123"/>
        <v>94761.904761904763</v>
      </c>
      <c r="N227" s="23">
        <f t="shared" si="125"/>
        <v>10060.555555555771</v>
      </c>
      <c r="O227" s="23">
        <f t="shared" si="124"/>
        <v>18478571.428571828</v>
      </c>
    </row>
    <row r="228" spans="1:15" ht="18.600000000000001" thickBot="1" x14ac:dyDescent="0.5">
      <c r="A228" s="96" t="s">
        <v>18</v>
      </c>
      <c r="B228" s="96"/>
      <c r="C228" s="96"/>
      <c r="D228" s="96"/>
      <c r="E228" s="14">
        <f t="shared" ref="E228" si="144">12*H212</f>
        <v>132</v>
      </c>
      <c r="F228" s="3"/>
      <c r="J228">
        <v>226</v>
      </c>
      <c r="K228" s="24" t="s">
        <v>269</v>
      </c>
      <c r="L228" s="23">
        <f t="shared" si="122"/>
        <v>104771.13095238117</v>
      </c>
      <c r="M228" s="23">
        <f t="shared" si="123"/>
        <v>94761.904761904763</v>
      </c>
      <c r="N228" s="23">
        <f t="shared" si="125"/>
        <v>10009.226190476407</v>
      </c>
      <c r="O228" s="23">
        <f t="shared" si="124"/>
        <v>18383809.523809925</v>
      </c>
    </row>
    <row r="229" spans="1:15" ht="18.600000000000001" thickBot="1" x14ac:dyDescent="0.5">
      <c r="A229" s="3"/>
      <c r="B229" s="3"/>
      <c r="C229" s="3"/>
      <c r="D229" s="3"/>
      <c r="E229" s="3"/>
      <c r="F229" s="3"/>
      <c r="J229">
        <v>227</v>
      </c>
      <c r="K229" s="24" t="s">
        <v>270</v>
      </c>
      <c r="L229" s="23">
        <f t="shared" si="122"/>
        <v>104719.8015873018</v>
      </c>
      <c r="M229" s="23">
        <f t="shared" si="123"/>
        <v>94761.904761904763</v>
      </c>
      <c r="N229" s="23">
        <f t="shared" si="125"/>
        <v>9957.8968253970434</v>
      </c>
      <c r="O229" s="23">
        <f t="shared" si="124"/>
        <v>18289047.619048022</v>
      </c>
    </row>
    <row r="230" spans="1:15" ht="18.600000000000001" thickBot="1" x14ac:dyDescent="0.5">
      <c r="A230" s="12" t="s">
        <v>19</v>
      </c>
      <c r="B230" s="12"/>
      <c r="C230" s="12"/>
      <c r="D230" s="12"/>
      <c r="E230" s="15">
        <f t="shared" ref="E230" si="145">-((E227-E225)/E228)</f>
        <v>11.750917237854916</v>
      </c>
      <c r="F230" s="3" t="s">
        <v>20</v>
      </c>
      <c r="J230">
        <v>228</v>
      </c>
      <c r="K230" s="24" t="s">
        <v>271</v>
      </c>
      <c r="L230" s="23">
        <f t="shared" si="122"/>
        <v>104668.47222222244</v>
      </c>
      <c r="M230" s="23">
        <f t="shared" si="123"/>
        <v>94761.904761904763</v>
      </c>
      <c r="N230" s="23">
        <f t="shared" si="125"/>
        <v>9906.5674603176794</v>
      </c>
      <c r="O230" s="23">
        <f t="shared" si="124"/>
        <v>18194285.714286119</v>
      </c>
    </row>
    <row r="231" spans="1:15" x14ac:dyDescent="0.45">
      <c r="A231" s="3"/>
      <c r="B231" s="3"/>
      <c r="C231" s="3"/>
      <c r="D231" s="3"/>
      <c r="E231" s="3"/>
      <c r="F231" s="3"/>
      <c r="J231">
        <v>229</v>
      </c>
      <c r="K231" s="24" t="s">
        <v>272</v>
      </c>
      <c r="L231" s="23">
        <f t="shared" si="122"/>
        <v>104617.14285714307</v>
      </c>
      <c r="M231" s="23">
        <f t="shared" si="123"/>
        <v>94761.904761904763</v>
      </c>
      <c r="N231" s="23">
        <f t="shared" si="125"/>
        <v>9855.2380952383155</v>
      </c>
      <c r="O231" s="23">
        <f t="shared" si="124"/>
        <v>18099523.809524216</v>
      </c>
    </row>
    <row r="232" spans="1:15" ht="18.600000000000001" thickBot="1" x14ac:dyDescent="0.5">
      <c r="A232" s="3"/>
      <c r="B232" s="3"/>
      <c r="D232" s="3"/>
      <c r="E232" s="3"/>
      <c r="F232" s="3"/>
      <c r="J232">
        <v>230</v>
      </c>
      <c r="K232" s="24" t="s">
        <v>273</v>
      </c>
      <c r="L232" s="23">
        <f t="shared" si="122"/>
        <v>104565.81349206371</v>
      </c>
      <c r="M232" s="23">
        <f t="shared" si="123"/>
        <v>94761.904761904763</v>
      </c>
      <c r="N232" s="23">
        <f t="shared" si="125"/>
        <v>9803.9087301589516</v>
      </c>
      <c r="O232" s="23">
        <f t="shared" si="124"/>
        <v>18004761.904762313</v>
      </c>
    </row>
    <row r="233" spans="1:15" ht="18.600000000000001" thickBot="1" x14ac:dyDescent="0.5">
      <c r="A233" s="10" t="s">
        <v>4</v>
      </c>
      <c r="B233" s="3"/>
      <c r="C233" s="3"/>
      <c r="D233" s="3"/>
      <c r="E233" s="4" t="s">
        <v>1</v>
      </c>
      <c r="F233" s="4"/>
      <c r="G233" s="38" t="s">
        <v>508</v>
      </c>
      <c r="H233" s="42">
        <f t="shared" ref="H233" si="146">H212+1</f>
        <v>12</v>
      </c>
      <c r="I233" t="s">
        <v>509</v>
      </c>
      <c r="J233">
        <v>231</v>
      </c>
      <c r="K233" s="24" t="s">
        <v>274</v>
      </c>
      <c r="L233" s="23">
        <f t="shared" si="122"/>
        <v>104514.48412698435</v>
      </c>
      <c r="M233" s="23">
        <f t="shared" si="123"/>
        <v>94761.904761904763</v>
      </c>
      <c r="N233" s="23">
        <f t="shared" si="125"/>
        <v>9752.5793650795877</v>
      </c>
      <c r="O233" s="23">
        <f t="shared" si="124"/>
        <v>17910000.00000041</v>
      </c>
    </row>
    <row r="234" spans="1:15" ht="18.600000000000001" thickBot="1" x14ac:dyDescent="0.5">
      <c r="A234" s="133" t="s">
        <v>5</v>
      </c>
      <c r="B234" s="133"/>
      <c r="C234" s="133"/>
      <c r="D234" s="133"/>
      <c r="E234" s="11" t="s">
        <v>0</v>
      </c>
      <c r="F234" s="3"/>
      <c r="G234" s="36" t="s">
        <v>464</v>
      </c>
      <c r="H234" s="37">
        <f t="shared" ref="H234:H284" si="147">H213</f>
        <v>3980</v>
      </c>
      <c r="I234" t="s">
        <v>465</v>
      </c>
      <c r="J234">
        <v>232</v>
      </c>
      <c r="K234" s="24" t="s">
        <v>275</v>
      </c>
      <c r="L234" s="23">
        <f t="shared" si="122"/>
        <v>104463.15476190498</v>
      </c>
      <c r="M234" s="23">
        <f t="shared" si="123"/>
        <v>94761.904761904763</v>
      </c>
      <c r="N234" s="23">
        <f t="shared" si="125"/>
        <v>9701.2500000002237</v>
      </c>
      <c r="O234" s="23">
        <f t="shared" si="124"/>
        <v>17815238.095238507</v>
      </c>
    </row>
    <row r="235" spans="1:15" ht="18.600000000000001" thickBot="1" x14ac:dyDescent="0.5">
      <c r="A235" s="85"/>
      <c r="B235" s="87"/>
      <c r="C235" s="127" t="s">
        <v>3</v>
      </c>
      <c r="D235" s="128"/>
      <c r="E235" s="29">
        <f t="shared" ref="E235" si="148">IF(H237="",0,H237)</f>
        <v>0</v>
      </c>
      <c r="F235" s="3"/>
      <c r="G235" s="25" t="s">
        <v>466</v>
      </c>
      <c r="H235" s="43">
        <f t="shared" si="147"/>
        <v>0.65</v>
      </c>
      <c r="I235" t="s">
        <v>469</v>
      </c>
      <c r="J235">
        <v>233</v>
      </c>
      <c r="K235" s="24" t="s">
        <v>276</v>
      </c>
      <c r="L235" s="23">
        <f t="shared" si="122"/>
        <v>104411.82539682562</v>
      </c>
      <c r="M235" s="23">
        <f t="shared" si="123"/>
        <v>94761.904761904763</v>
      </c>
      <c r="N235" s="23">
        <f t="shared" si="125"/>
        <v>9649.9206349208598</v>
      </c>
      <c r="O235" s="23">
        <f t="shared" si="124"/>
        <v>17720476.190476604</v>
      </c>
    </row>
    <row r="236" spans="1:15" ht="18.600000000000001" thickBot="1" x14ac:dyDescent="0.5">
      <c r="A236" s="86"/>
      <c r="B236" s="88"/>
      <c r="C236" s="127" t="s">
        <v>6</v>
      </c>
      <c r="D236" s="128"/>
      <c r="E236" s="19">
        <f>IF(H240="",$H$7*0.06,H240)</f>
        <v>238.79999999999998</v>
      </c>
      <c r="F236" s="3"/>
      <c r="G236" s="25" t="s">
        <v>467</v>
      </c>
      <c r="H236" s="37">
        <f t="shared" si="147"/>
        <v>35</v>
      </c>
      <c r="I236" t="s">
        <v>468</v>
      </c>
      <c r="J236">
        <v>234</v>
      </c>
      <c r="K236" s="24" t="s">
        <v>277</v>
      </c>
      <c r="L236" s="23">
        <f t="shared" si="122"/>
        <v>104360.49603174625</v>
      </c>
      <c r="M236" s="23">
        <f t="shared" si="123"/>
        <v>94761.904761904763</v>
      </c>
      <c r="N236" s="23">
        <f t="shared" si="125"/>
        <v>9598.5912698414941</v>
      </c>
      <c r="O236" s="23">
        <f t="shared" si="124"/>
        <v>17625714.285714701</v>
      </c>
    </row>
    <row r="237" spans="1:15" ht="18.600000000000001" thickBot="1" x14ac:dyDescent="0.5">
      <c r="A237" s="86"/>
      <c r="B237" s="91" t="s">
        <v>7</v>
      </c>
      <c r="C237" s="92"/>
      <c r="D237" s="92"/>
      <c r="E237" s="19">
        <f t="shared" ref="E237" si="149">SUM(E235:E236)</f>
        <v>238.79999999999998</v>
      </c>
      <c r="F237" s="3"/>
      <c r="G237" s="28" t="s">
        <v>3</v>
      </c>
      <c r="H237" s="37">
        <f t="shared" si="147"/>
        <v>0</v>
      </c>
      <c r="I237" t="s">
        <v>465</v>
      </c>
      <c r="J237">
        <v>235</v>
      </c>
      <c r="K237" s="24" t="s">
        <v>278</v>
      </c>
      <c r="L237" s="23">
        <f t="shared" si="122"/>
        <v>104309.16666666689</v>
      </c>
      <c r="M237" s="23">
        <f t="shared" si="123"/>
        <v>94761.904761904763</v>
      </c>
      <c r="N237" s="23">
        <f t="shared" si="125"/>
        <v>9547.2619047621301</v>
      </c>
      <c r="O237" s="23">
        <f t="shared" si="124"/>
        <v>17530952.380952798</v>
      </c>
    </row>
    <row r="238" spans="1:15" ht="18.600000000000001" thickBot="1" x14ac:dyDescent="0.5">
      <c r="A238" s="86"/>
      <c r="B238" s="7"/>
      <c r="C238" s="5" t="s">
        <v>8</v>
      </c>
      <c r="D238" s="5"/>
      <c r="E238" s="49">
        <f t="shared" ref="E238" si="150">_xlfn.SWITCH(H233,1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1622.1627142857153</v>
      </c>
      <c r="F238" s="3"/>
      <c r="G238" s="28" t="s">
        <v>16</v>
      </c>
      <c r="H238" s="37">
        <f>真実の家賃!$I$8*AD14</f>
        <v>2909.8222222222221</v>
      </c>
      <c r="I238" t="s">
        <v>465</v>
      </c>
      <c r="J238">
        <v>236</v>
      </c>
      <c r="K238" s="24" t="s">
        <v>279</v>
      </c>
      <c r="L238" s="23">
        <f t="shared" si="122"/>
        <v>104257.83730158753</v>
      </c>
      <c r="M238" s="23">
        <f t="shared" si="123"/>
        <v>94761.904761904763</v>
      </c>
      <c r="N238" s="23">
        <f t="shared" si="125"/>
        <v>9495.9325396827662</v>
      </c>
      <c r="O238" s="23">
        <f t="shared" si="124"/>
        <v>17436190.476190895</v>
      </c>
    </row>
    <row r="239" spans="1:15" ht="18.600000000000001" thickBot="1" x14ac:dyDescent="0.5">
      <c r="A239" s="86"/>
      <c r="B239" s="8"/>
      <c r="C239" s="127" t="s">
        <v>2</v>
      </c>
      <c r="D239" s="128"/>
      <c r="E239" s="19">
        <f t="shared" ref="E239" si="151">IF(H241="",H233*15,H241)</f>
        <v>180</v>
      </c>
      <c r="F239" s="3"/>
      <c r="G239" s="56" t="s">
        <v>573</v>
      </c>
      <c r="H239" s="40" t="str">
        <f t="shared" si="147"/>
        <v/>
      </c>
      <c r="I239" t="s">
        <v>465</v>
      </c>
      <c r="J239">
        <v>237</v>
      </c>
      <c r="K239" s="24" t="s">
        <v>280</v>
      </c>
      <c r="L239" s="23">
        <f t="shared" si="122"/>
        <v>104206.50793650816</v>
      </c>
      <c r="M239" s="23">
        <f t="shared" si="123"/>
        <v>94761.904761904763</v>
      </c>
      <c r="N239" s="23">
        <f t="shared" si="125"/>
        <v>9444.6031746034023</v>
      </c>
      <c r="O239" s="23">
        <f t="shared" si="124"/>
        <v>17341428.571428992</v>
      </c>
    </row>
    <row r="240" spans="1:15" ht="18.600000000000001" thickBot="1" x14ac:dyDescent="0.5">
      <c r="A240" s="86"/>
      <c r="B240" s="8"/>
      <c r="C240" s="129" t="s">
        <v>9</v>
      </c>
      <c r="D240" s="129"/>
      <c r="E240" s="19">
        <f t="shared" ref="E240" si="152">_xlfn.SWITCH(H233,1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-272.23200000000111</v>
      </c>
      <c r="F240" s="3"/>
      <c r="G240" s="34" t="s">
        <v>6</v>
      </c>
      <c r="H240" s="40" t="str">
        <f t="shared" si="147"/>
        <v/>
      </c>
      <c r="I240" t="s">
        <v>465</v>
      </c>
      <c r="J240">
        <v>238</v>
      </c>
      <c r="K240" s="24" t="s">
        <v>281</v>
      </c>
      <c r="L240" s="23">
        <f t="shared" si="122"/>
        <v>104155.1785714288</v>
      </c>
      <c r="M240" s="23">
        <f t="shared" si="123"/>
        <v>94761.904761904763</v>
      </c>
      <c r="N240" s="23">
        <f t="shared" si="125"/>
        <v>9393.2738095240384</v>
      </c>
      <c r="O240" s="23">
        <f t="shared" si="124"/>
        <v>17246666.666667089</v>
      </c>
    </row>
    <row r="241" spans="1:15" ht="18.600000000000001" thickBot="1" x14ac:dyDescent="0.5">
      <c r="A241" s="86"/>
      <c r="B241" s="8"/>
      <c r="C241" s="130" t="s">
        <v>10</v>
      </c>
      <c r="D241" s="131"/>
      <c r="E241" s="49">
        <f t="shared" ref="E241" si="153">IF(H239="",$Z$3,H233*H239)</f>
        <v>0</v>
      </c>
      <c r="F241" s="3"/>
      <c r="G241" s="28" t="s">
        <v>560</v>
      </c>
      <c r="H241" s="40" t="str">
        <f t="shared" si="147"/>
        <v/>
      </c>
      <c r="I241" t="s">
        <v>465</v>
      </c>
      <c r="J241">
        <v>239</v>
      </c>
      <c r="K241" s="24" t="s">
        <v>282</v>
      </c>
      <c r="L241" s="23">
        <f t="shared" si="122"/>
        <v>104103.84920634943</v>
      </c>
      <c r="M241" s="23">
        <f t="shared" si="123"/>
        <v>94761.904761904763</v>
      </c>
      <c r="N241" s="23">
        <f t="shared" si="125"/>
        <v>9341.9444444446744</v>
      </c>
      <c r="O241" s="23">
        <f t="shared" si="124"/>
        <v>17151904.761905186</v>
      </c>
    </row>
    <row r="242" spans="1:15" ht="18.600000000000001" thickBot="1" x14ac:dyDescent="0.5">
      <c r="A242" s="86"/>
      <c r="B242" s="132" t="s">
        <v>11</v>
      </c>
      <c r="C242" s="126"/>
      <c r="D242" s="126"/>
      <c r="E242" s="19">
        <f t="shared" ref="E242" si="154">SUM(E238:E241)</f>
        <v>1529.9307142857142</v>
      </c>
      <c r="F242" s="3"/>
      <c r="G242" s="33" t="s">
        <v>561</v>
      </c>
      <c r="H242" s="41" t="str">
        <f t="shared" si="147"/>
        <v/>
      </c>
      <c r="I242" t="s">
        <v>465</v>
      </c>
      <c r="J242">
        <v>240</v>
      </c>
      <c r="K242" s="24" t="s">
        <v>283</v>
      </c>
      <c r="L242" s="23">
        <f t="shared" si="122"/>
        <v>104052.51984127007</v>
      </c>
      <c r="M242" s="23">
        <f t="shared" si="123"/>
        <v>94761.904761904763</v>
      </c>
      <c r="N242" s="23">
        <f t="shared" si="125"/>
        <v>9290.6150793653087</v>
      </c>
      <c r="O242" s="23">
        <f t="shared" si="124"/>
        <v>17057142.857143283</v>
      </c>
    </row>
    <row r="243" spans="1:15" ht="18.600000000000001" thickBot="1" x14ac:dyDescent="0.5">
      <c r="A243" s="86"/>
      <c r="B243" s="7"/>
      <c r="C243" s="127" t="s">
        <v>12</v>
      </c>
      <c r="D243" s="128"/>
      <c r="E243" s="19">
        <f t="shared" ref="E243" si="155">_xlfn.SWITCH(H233,1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2615.428571428597</v>
      </c>
      <c r="F243" s="3"/>
      <c r="G243" s="30"/>
      <c r="J243">
        <v>241</v>
      </c>
      <c r="K243" s="24" t="s">
        <v>284</v>
      </c>
      <c r="L243" s="23">
        <f t="shared" si="122"/>
        <v>104001.19047619071</v>
      </c>
      <c r="M243" s="23">
        <f t="shared" si="123"/>
        <v>94761.904761904763</v>
      </c>
      <c r="N243" s="23">
        <f t="shared" si="125"/>
        <v>9239.2857142859448</v>
      </c>
      <c r="O243" s="23">
        <f t="shared" si="124"/>
        <v>16962380.95238138</v>
      </c>
    </row>
    <row r="244" spans="1:15" ht="18.600000000000001" thickBot="1" x14ac:dyDescent="0.5">
      <c r="A244" s="86"/>
      <c r="B244" s="8"/>
      <c r="C244" s="127" t="s">
        <v>13</v>
      </c>
      <c r="D244" s="128"/>
      <c r="E244" s="19">
        <f>IF(H242="",H238*0.05,H242)</f>
        <v>145.49111111111111</v>
      </c>
      <c r="F244" s="3"/>
      <c r="G244" s="30"/>
      <c r="J244">
        <v>242</v>
      </c>
      <c r="K244" s="24" t="s">
        <v>285</v>
      </c>
      <c r="L244" s="23">
        <f t="shared" si="122"/>
        <v>103949.86111111134</v>
      </c>
      <c r="M244" s="23">
        <f t="shared" si="123"/>
        <v>94761.904761904763</v>
      </c>
      <c r="N244" s="23">
        <f t="shared" si="125"/>
        <v>9187.9563492065809</v>
      </c>
      <c r="O244" s="23">
        <f t="shared" si="124"/>
        <v>16867619.047619477</v>
      </c>
    </row>
    <row r="245" spans="1:15" ht="18.600000000000001" thickBot="1" x14ac:dyDescent="0.5">
      <c r="A245" s="86"/>
      <c r="B245" s="132" t="s">
        <v>14</v>
      </c>
      <c r="C245" s="126"/>
      <c r="D245" s="126"/>
      <c r="E245" s="19">
        <f t="shared" ref="E245" si="156">SUM(E243:E244)</f>
        <v>2760.919682539708</v>
      </c>
      <c r="F245" s="3"/>
      <c r="G245" s="30"/>
      <c r="J245">
        <v>243</v>
      </c>
      <c r="K245" s="24" t="s">
        <v>286</v>
      </c>
      <c r="L245" s="23">
        <f t="shared" si="122"/>
        <v>103898.53174603198</v>
      </c>
      <c r="M245" s="23">
        <f t="shared" si="123"/>
        <v>94761.904761904763</v>
      </c>
      <c r="N245" s="23">
        <f t="shared" si="125"/>
        <v>9136.6269841272169</v>
      </c>
      <c r="O245" s="23">
        <f t="shared" si="124"/>
        <v>16772857.142857572</v>
      </c>
    </row>
    <row r="246" spans="1:15" ht="18.600000000000001" thickBot="1" x14ac:dyDescent="0.5">
      <c r="A246" s="97" t="s">
        <v>15</v>
      </c>
      <c r="B246" s="98"/>
      <c r="C246" s="98"/>
      <c r="D246" s="99"/>
      <c r="E246" s="20">
        <f t="shared" ref="E246" si="157">E237+E242+E245</f>
        <v>4529.6503968254219</v>
      </c>
      <c r="F246" s="3"/>
      <c r="J246">
        <v>244</v>
      </c>
      <c r="K246" s="24" t="s">
        <v>287</v>
      </c>
      <c r="L246" s="23">
        <f t="shared" si="122"/>
        <v>103847.20238095261</v>
      </c>
      <c r="M246" s="23">
        <f t="shared" si="123"/>
        <v>94761.904761904763</v>
      </c>
      <c r="N246" s="23">
        <f t="shared" si="125"/>
        <v>9085.297619047853</v>
      </c>
      <c r="O246" s="23">
        <f t="shared" si="124"/>
        <v>16678095.238095667</v>
      </c>
    </row>
    <row r="247" spans="1:15" ht="18.600000000000001" thickBot="1" x14ac:dyDescent="0.5">
      <c r="A247" s="6"/>
      <c r="B247" s="126" t="s">
        <v>16</v>
      </c>
      <c r="C247" s="126"/>
      <c r="D247" s="126"/>
      <c r="E247" s="19">
        <f t="shared" ref="E247" si="158">H238</f>
        <v>2909.8222222222221</v>
      </c>
      <c r="F247" s="3"/>
      <c r="J247">
        <v>245</v>
      </c>
      <c r="K247" s="24" t="s">
        <v>288</v>
      </c>
      <c r="L247" s="23">
        <f t="shared" si="122"/>
        <v>103795.87301587325</v>
      </c>
      <c r="M247" s="23">
        <f t="shared" si="123"/>
        <v>94761.904761904763</v>
      </c>
      <c r="N247" s="23">
        <f t="shared" si="125"/>
        <v>9033.9682539684873</v>
      </c>
      <c r="O247" s="23">
        <f t="shared" si="124"/>
        <v>16583333.333333762</v>
      </c>
    </row>
    <row r="248" spans="1:15" ht="18.600000000000001" thickBot="1" x14ac:dyDescent="0.5">
      <c r="A248" s="97" t="s">
        <v>17</v>
      </c>
      <c r="B248" s="98"/>
      <c r="C248" s="98"/>
      <c r="D248" s="99"/>
      <c r="E248" s="20">
        <f t="shared" ref="E248" si="159">E247</f>
        <v>2909.8222222222221</v>
      </c>
      <c r="F248" s="3"/>
      <c r="J248">
        <v>246</v>
      </c>
      <c r="K248" s="24" t="s">
        <v>289</v>
      </c>
      <c r="L248" s="23">
        <f t="shared" si="122"/>
        <v>103744.54365079389</v>
      </c>
      <c r="M248" s="23">
        <f t="shared" si="123"/>
        <v>94761.904761904763</v>
      </c>
      <c r="N248" s="23">
        <f t="shared" si="125"/>
        <v>8982.6388888891215</v>
      </c>
      <c r="O248" s="23">
        <f t="shared" si="124"/>
        <v>16488571.428571858</v>
      </c>
    </row>
    <row r="249" spans="1:15" ht="18.600000000000001" thickBot="1" x14ac:dyDescent="0.5">
      <c r="A249" s="96" t="s">
        <v>18</v>
      </c>
      <c r="B249" s="96"/>
      <c r="C249" s="96"/>
      <c r="D249" s="96"/>
      <c r="E249" s="14">
        <f t="shared" ref="E249" si="160">12*H233</f>
        <v>144</v>
      </c>
      <c r="F249" s="3"/>
      <c r="J249">
        <v>247</v>
      </c>
      <c r="K249" s="24" t="s">
        <v>290</v>
      </c>
      <c r="L249" s="23">
        <f t="shared" si="122"/>
        <v>103693.21428571452</v>
      </c>
      <c r="M249" s="23">
        <f t="shared" si="123"/>
        <v>94761.904761904763</v>
      </c>
      <c r="N249" s="23">
        <f t="shared" si="125"/>
        <v>8931.3095238097576</v>
      </c>
      <c r="O249" s="23">
        <f t="shared" si="124"/>
        <v>16393809.523809953</v>
      </c>
    </row>
    <row r="250" spans="1:15" ht="18.600000000000001" thickBot="1" x14ac:dyDescent="0.5">
      <c r="A250" s="3"/>
      <c r="B250" s="3"/>
      <c r="C250" s="3"/>
      <c r="D250" s="3"/>
      <c r="E250" s="3"/>
      <c r="F250" s="3"/>
      <c r="J250">
        <v>248</v>
      </c>
      <c r="K250" s="24" t="s">
        <v>291</v>
      </c>
      <c r="L250" s="23">
        <f t="shared" si="122"/>
        <v>103641.88492063516</v>
      </c>
      <c r="M250" s="23">
        <f t="shared" si="123"/>
        <v>94761.904761904763</v>
      </c>
      <c r="N250" s="23">
        <f t="shared" si="125"/>
        <v>8879.9801587303918</v>
      </c>
      <c r="O250" s="23">
        <f t="shared" si="124"/>
        <v>16299047.619048048</v>
      </c>
    </row>
    <row r="251" spans="1:15" ht="18.600000000000001" thickBot="1" x14ac:dyDescent="0.5">
      <c r="A251" s="12" t="s">
        <v>19</v>
      </c>
      <c r="B251" s="12"/>
      <c r="C251" s="12"/>
      <c r="D251" s="12"/>
      <c r="E251" s="15">
        <f t="shared" ref="E251" si="161">-((E248-E246)/E249)</f>
        <v>11.248806768077777</v>
      </c>
      <c r="F251" s="3" t="s">
        <v>20</v>
      </c>
      <c r="J251">
        <v>249</v>
      </c>
      <c r="K251" s="24" t="s">
        <v>292</v>
      </c>
      <c r="L251" s="23">
        <f t="shared" si="122"/>
        <v>103590.55555555579</v>
      </c>
      <c r="M251" s="23">
        <f t="shared" si="123"/>
        <v>94761.904761904763</v>
      </c>
      <c r="N251" s="23">
        <f t="shared" si="125"/>
        <v>8828.6507936510261</v>
      </c>
      <c r="O251" s="23">
        <f t="shared" si="124"/>
        <v>16204285.714286143</v>
      </c>
    </row>
    <row r="252" spans="1:15" x14ac:dyDescent="0.45">
      <c r="A252" s="3"/>
      <c r="B252" s="3"/>
      <c r="C252" s="3"/>
      <c r="D252" s="3"/>
      <c r="E252" s="3"/>
      <c r="F252" s="3"/>
      <c r="J252">
        <v>250</v>
      </c>
      <c r="K252" s="24" t="s">
        <v>293</v>
      </c>
      <c r="L252" s="23">
        <f t="shared" si="122"/>
        <v>103539.22619047643</v>
      </c>
      <c r="M252" s="23">
        <f t="shared" si="123"/>
        <v>94761.904761904763</v>
      </c>
      <c r="N252" s="23">
        <f t="shared" si="125"/>
        <v>8777.3214285716622</v>
      </c>
      <c r="O252" s="23">
        <f t="shared" si="124"/>
        <v>16109523.809524238</v>
      </c>
    </row>
    <row r="253" spans="1:15" ht="18.600000000000001" thickBot="1" x14ac:dyDescent="0.5">
      <c r="A253" s="3"/>
      <c r="B253" s="3"/>
      <c r="D253" s="3"/>
      <c r="E253" s="3"/>
      <c r="F253" s="3"/>
      <c r="J253">
        <v>251</v>
      </c>
      <c r="K253" s="24" t="s">
        <v>294</v>
      </c>
      <c r="L253" s="23">
        <f t="shared" si="122"/>
        <v>103487.89682539707</v>
      </c>
      <c r="M253" s="23">
        <f t="shared" si="123"/>
        <v>94761.904761904763</v>
      </c>
      <c r="N253" s="23">
        <f t="shared" si="125"/>
        <v>8725.9920634922964</v>
      </c>
      <c r="O253" s="23">
        <f t="shared" si="124"/>
        <v>16014761.904762333</v>
      </c>
    </row>
    <row r="254" spans="1:15" ht="18.600000000000001" thickBot="1" x14ac:dyDescent="0.5">
      <c r="A254" s="10" t="s">
        <v>4</v>
      </c>
      <c r="B254" s="3"/>
      <c r="C254" s="3"/>
      <c r="D254" s="3"/>
      <c r="E254" s="4" t="s">
        <v>1</v>
      </c>
      <c r="F254" s="4"/>
      <c r="G254" s="38" t="s">
        <v>508</v>
      </c>
      <c r="H254" s="42">
        <f t="shared" ref="H254" si="162">H233+1</f>
        <v>13</v>
      </c>
      <c r="I254" t="s">
        <v>509</v>
      </c>
      <c r="J254">
        <v>252</v>
      </c>
      <c r="K254" s="24" t="s">
        <v>295</v>
      </c>
      <c r="L254" s="23">
        <f t="shared" si="122"/>
        <v>103436.56746031769</v>
      </c>
      <c r="M254" s="23">
        <f t="shared" si="123"/>
        <v>94761.904761904763</v>
      </c>
      <c r="N254" s="23">
        <f t="shared" si="125"/>
        <v>8674.6626984129307</v>
      </c>
      <c r="O254" s="23">
        <f t="shared" si="124"/>
        <v>15920000.000000428</v>
      </c>
    </row>
    <row r="255" spans="1:15" ht="18.600000000000001" thickBot="1" x14ac:dyDescent="0.5">
      <c r="A255" s="133" t="s">
        <v>5</v>
      </c>
      <c r="B255" s="133"/>
      <c r="C255" s="133"/>
      <c r="D255" s="133"/>
      <c r="E255" s="11" t="s">
        <v>0</v>
      </c>
      <c r="F255" s="3"/>
      <c r="G255" s="36" t="s">
        <v>464</v>
      </c>
      <c r="H255" s="37">
        <f t="shared" ref="H255:H305" si="163">H234</f>
        <v>3980</v>
      </c>
      <c r="I255" t="s">
        <v>465</v>
      </c>
      <c r="J255">
        <v>253</v>
      </c>
      <c r="K255" s="24" t="s">
        <v>296</v>
      </c>
      <c r="L255" s="23">
        <f t="shared" si="122"/>
        <v>103385.23809523832</v>
      </c>
      <c r="M255" s="23">
        <f t="shared" si="123"/>
        <v>94761.904761904763</v>
      </c>
      <c r="N255" s="23">
        <f t="shared" si="125"/>
        <v>8623.3333333335668</v>
      </c>
      <c r="O255" s="23">
        <f t="shared" si="124"/>
        <v>15825238.095238524</v>
      </c>
    </row>
    <row r="256" spans="1:15" ht="18.600000000000001" thickBot="1" x14ac:dyDescent="0.5">
      <c r="A256" s="85"/>
      <c r="B256" s="87"/>
      <c r="C256" s="127" t="s">
        <v>3</v>
      </c>
      <c r="D256" s="128"/>
      <c r="E256" s="29">
        <f t="shared" ref="E256" si="164">IF(H258="",0,H258)</f>
        <v>0</v>
      </c>
      <c r="F256" s="3"/>
      <c r="G256" s="25" t="s">
        <v>466</v>
      </c>
      <c r="H256" s="43">
        <f t="shared" si="163"/>
        <v>0.65</v>
      </c>
      <c r="I256" t="s">
        <v>469</v>
      </c>
      <c r="J256">
        <v>254</v>
      </c>
      <c r="K256" s="24" t="s">
        <v>297</v>
      </c>
      <c r="L256" s="23">
        <f t="shared" si="122"/>
        <v>103333.90873015896</v>
      </c>
      <c r="M256" s="23">
        <f t="shared" si="123"/>
        <v>94761.904761904763</v>
      </c>
      <c r="N256" s="23">
        <f t="shared" si="125"/>
        <v>8572.003968254201</v>
      </c>
      <c r="O256" s="23">
        <f t="shared" si="124"/>
        <v>15730476.190476619</v>
      </c>
    </row>
    <row r="257" spans="1:15" ht="18.600000000000001" thickBot="1" x14ac:dyDescent="0.5">
      <c r="A257" s="86"/>
      <c r="B257" s="88"/>
      <c r="C257" s="127" t="s">
        <v>6</v>
      </c>
      <c r="D257" s="128"/>
      <c r="E257" s="19">
        <f>IF(H261="",$H$7*0.06,H261)</f>
        <v>238.79999999999998</v>
      </c>
      <c r="F257" s="3"/>
      <c r="G257" s="25" t="s">
        <v>467</v>
      </c>
      <c r="H257" s="37">
        <f t="shared" si="163"/>
        <v>35</v>
      </c>
      <c r="I257" t="s">
        <v>468</v>
      </c>
      <c r="J257">
        <v>255</v>
      </c>
      <c r="K257" s="24" t="s">
        <v>298</v>
      </c>
      <c r="L257" s="23">
        <f t="shared" si="122"/>
        <v>103282.5793650796</v>
      </c>
      <c r="M257" s="23">
        <f t="shared" si="123"/>
        <v>94761.904761904763</v>
      </c>
      <c r="N257" s="23">
        <f t="shared" si="125"/>
        <v>8520.6746031748353</v>
      </c>
      <c r="O257" s="23">
        <f t="shared" si="124"/>
        <v>15635714.285714714</v>
      </c>
    </row>
    <row r="258" spans="1:15" ht="18.600000000000001" thickBot="1" x14ac:dyDescent="0.5">
      <c r="A258" s="86"/>
      <c r="B258" s="91" t="s">
        <v>7</v>
      </c>
      <c r="C258" s="92"/>
      <c r="D258" s="92"/>
      <c r="E258" s="19">
        <f t="shared" ref="E258" si="165">SUM(E256:E257)</f>
        <v>238.79999999999998</v>
      </c>
      <c r="F258" s="3"/>
      <c r="G258" s="28" t="s">
        <v>3</v>
      </c>
      <c r="H258" s="37">
        <f t="shared" si="163"/>
        <v>0</v>
      </c>
      <c r="I258" t="s">
        <v>465</v>
      </c>
      <c r="J258">
        <v>256</v>
      </c>
      <c r="K258" s="24" t="s">
        <v>299</v>
      </c>
      <c r="L258" s="23">
        <f t="shared" si="122"/>
        <v>103231.25000000023</v>
      </c>
      <c r="M258" s="23">
        <f t="shared" si="123"/>
        <v>94761.904761904763</v>
      </c>
      <c r="N258" s="23">
        <f t="shared" si="125"/>
        <v>8469.3452380954714</v>
      </c>
      <c r="O258" s="23">
        <f t="shared" si="124"/>
        <v>15540952.380952809</v>
      </c>
    </row>
    <row r="259" spans="1:15" ht="18.600000000000001" thickBot="1" x14ac:dyDescent="0.5">
      <c r="A259" s="86"/>
      <c r="B259" s="7"/>
      <c r="C259" s="5" t="s">
        <v>8</v>
      </c>
      <c r="D259" s="5"/>
      <c r="E259" s="49">
        <f t="shared" ref="E259" si="166">_xlfn.SWITCH(H254,1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1752.538511904763</v>
      </c>
      <c r="F259" s="3"/>
      <c r="G259" s="28" t="s">
        <v>16</v>
      </c>
      <c r="H259" s="37">
        <f>真実の家賃!$I$8*AD15</f>
        <v>2852.333333333333</v>
      </c>
      <c r="I259" t="s">
        <v>465</v>
      </c>
      <c r="J259">
        <v>257</v>
      </c>
      <c r="K259" s="24" t="s">
        <v>300</v>
      </c>
      <c r="L259" s="23">
        <f t="shared" si="122"/>
        <v>103179.92063492087</v>
      </c>
      <c r="M259" s="23">
        <f t="shared" si="123"/>
        <v>94761.904761904763</v>
      </c>
      <c r="N259" s="23">
        <f t="shared" si="125"/>
        <v>8418.0158730161056</v>
      </c>
      <c r="O259" s="23">
        <f t="shared" si="124"/>
        <v>15446190.476190904</v>
      </c>
    </row>
    <row r="260" spans="1:15" ht="18.600000000000001" thickBot="1" x14ac:dyDescent="0.5">
      <c r="A260" s="86"/>
      <c r="B260" s="8"/>
      <c r="C260" s="127" t="s">
        <v>2</v>
      </c>
      <c r="D260" s="128"/>
      <c r="E260" s="19">
        <f t="shared" ref="E260" si="167">IF(H262="",H254*15,H262)</f>
        <v>195</v>
      </c>
      <c r="F260" s="3"/>
      <c r="G260" s="56" t="s">
        <v>573</v>
      </c>
      <c r="H260" s="40" t="str">
        <f t="shared" si="163"/>
        <v/>
      </c>
      <c r="I260" t="s">
        <v>465</v>
      </c>
      <c r="J260">
        <v>258</v>
      </c>
      <c r="K260" s="24" t="s">
        <v>301</v>
      </c>
      <c r="L260" s="23">
        <f t="shared" si="122"/>
        <v>103128.5912698415</v>
      </c>
      <c r="M260" s="23">
        <f t="shared" si="123"/>
        <v>94761.904761904763</v>
      </c>
      <c r="N260" s="23">
        <f t="shared" si="125"/>
        <v>8366.6865079367399</v>
      </c>
      <c r="O260" s="23">
        <f t="shared" si="124"/>
        <v>15351428.571428999</v>
      </c>
    </row>
    <row r="261" spans="1:15" ht="18.600000000000001" thickBot="1" x14ac:dyDescent="0.5">
      <c r="A261" s="86"/>
      <c r="B261" s="8"/>
      <c r="C261" s="129" t="s">
        <v>9</v>
      </c>
      <c r="D261" s="129"/>
      <c r="E261" s="19">
        <f t="shared" ref="E261" si="168">_xlfn.SWITCH(H254,1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261" s="3"/>
      <c r="G261" s="34" t="s">
        <v>6</v>
      </c>
      <c r="H261" s="40" t="str">
        <f t="shared" si="163"/>
        <v/>
      </c>
      <c r="I261" t="s">
        <v>465</v>
      </c>
      <c r="J261">
        <v>259</v>
      </c>
      <c r="K261" s="24" t="s">
        <v>302</v>
      </c>
      <c r="L261" s="23">
        <f t="shared" si="122"/>
        <v>103077.26190476214</v>
      </c>
      <c r="M261" s="23">
        <f t="shared" si="123"/>
        <v>94761.904761904763</v>
      </c>
      <c r="N261" s="23">
        <f t="shared" si="125"/>
        <v>8315.3571428573759</v>
      </c>
      <c r="O261" s="23">
        <f t="shared" si="124"/>
        <v>15256666.666667094</v>
      </c>
    </row>
    <row r="262" spans="1:15" ht="18.600000000000001" thickBot="1" x14ac:dyDescent="0.5">
      <c r="A262" s="86"/>
      <c r="B262" s="8"/>
      <c r="C262" s="130" t="s">
        <v>10</v>
      </c>
      <c r="D262" s="131"/>
      <c r="E262" s="49">
        <f t="shared" ref="E262" si="169">IF(H260="",$Z$3,H254*H260)</f>
        <v>0</v>
      </c>
      <c r="F262" s="3"/>
      <c r="G262" s="28" t="s">
        <v>560</v>
      </c>
      <c r="H262" s="40" t="str">
        <f t="shared" si="163"/>
        <v/>
      </c>
      <c r="I262" t="s">
        <v>465</v>
      </c>
      <c r="J262">
        <v>260</v>
      </c>
      <c r="K262" s="24" t="s">
        <v>303</v>
      </c>
      <c r="L262" s="23">
        <f t="shared" ref="L262:L325" si="170">IF(O261&lt;=0,0,(M262+N262))</f>
        <v>103025.93253968278</v>
      </c>
      <c r="M262" s="23">
        <f t="shared" ref="M262:M325" si="171">IF(O261&lt;=0,0,(($H$3*10000)/($H$5*12)))</f>
        <v>94761.904761904763</v>
      </c>
      <c r="N262" s="23">
        <f t="shared" si="125"/>
        <v>8264.0277777780102</v>
      </c>
      <c r="O262" s="23">
        <f t="shared" ref="O262:O325" si="172">IF(O261&lt;=0,0,(O261-M262))</f>
        <v>15161904.76190519</v>
      </c>
    </row>
    <row r="263" spans="1:15" ht="18.600000000000001" thickBot="1" x14ac:dyDescent="0.5">
      <c r="A263" s="86"/>
      <c r="B263" s="132" t="s">
        <v>11</v>
      </c>
      <c r="C263" s="126"/>
      <c r="D263" s="126"/>
      <c r="E263" s="19">
        <f t="shared" ref="E263" si="173">SUM(E259:E262)</f>
        <v>1657.7945119047617</v>
      </c>
      <c r="F263" s="3"/>
      <c r="G263" s="33" t="s">
        <v>561</v>
      </c>
      <c r="H263" s="41" t="str">
        <f t="shared" si="163"/>
        <v/>
      </c>
      <c r="I263" t="s">
        <v>465</v>
      </c>
      <c r="J263">
        <v>261</v>
      </c>
      <c r="K263" s="24" t="s">
        <v>304</v>
      </c>
      <c r="L263" s="23">
        <f t="shared" si="170"/>
        <v>102974.60317460341</v>
      </c>
      <c r="M263" s="23">
        <f t="shared" si="171"/>
        <v>94761.904761904763</v>
      </c>
      <c r="N263" s="23">
        <f t="shared" ref="N263:N326" si="174">IF(O262&lt;=0,0,(O262*($H$4/100)/12))</f>
        <v>8212.6984126986445</v>
      </c>
      <c r="O263" s="23">
        <f t="shared" si="172"/>
        <v>15067142.857143285</v>
      </c>
    </row>
    <row r="264" spans="1:15" ht="18.600000000000001" thickBot="1" x14ac:dyDescent="0.5">
      <c r="A264" s="86"/>
      <c r="B264" s="7"/>
      <c r="C264" s="127" t="s">
        <v>12</v>
      </c>
      <c r="D264" s="128"/>
      <c r="E264" s="19">
        <f t="shared" ref="E264" si="175">_xlfn.SWITCH(H254,1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2501.7142857143135</v>
      </c>
      <c r="F264" s="3"/>
      <c r="G264" s="30"/>
      <c r="J264">
        <v>262</v>
      </c>
      <c r="K264" s="24" t="s">
        <v>305</v>
      </c>
      <c r="L264" s="23">
        <f t="shared" si="170"/>
        <v>102923.27380952405</v>
      </c>
      <c r="M264" s="23">
        <f t="shared" si="171"/>
        <v>94761.904761904763</v>
      </c>
      <c r="N264" s="23">
        <f t="shared" si="174"/>
        <v>8161.3690476192796</v>
      </c>
      <c r="O264" s="23">
        <f t="shared" si="172"/>
        <v>14972380.95238138</v>
      </c>
    </row>
    <row r="265" spans="1:15" ht="18.600000000000001" thickBot="1" x14ac:dyDescent="0.5">
      <c r="A265" s="86"/>
      <c r="B265" s="8"/>
      <c r="C265" s="127" t="s">
        <v>13</v>
      </c>
      <c r="D265" s="128"/>
      <c r="E265" s="19">
        <f>IF(H263="",H259*0.05,H263)</f>
        <v>142.61666666666665</v>
      </c>
      <c r="F265" s="3"/>
      <c r="G265" s="30"/>
      <c r="J265">
        <v>263</v>
      </c>
      <c r="K265" s="24" t="s">
        <v>306</v>
      </c>
      <c r="L265" s="23">
        <f t="shared" si="170"/>
        <v>102871.94444444467</v>
      </c>
      <c r="M265" s="23">
        <f t="shared" si="171"/>
        <v>94761.904761904763</v>
      </c>
      <c r="N265" s="23">
        <f t="shared" si="174"/>
        <v>8110.0396825399148</v>
      </c>
      <c r="O265" s="23">
        <f t="shared" si="172"/>
        <v>14877619.047619475</v>
      </c>
    </row>
    <row r="266" spans="1:15" ht="18.600000000000001" thickBot="1" x14ac:dyDescent="0.5">
      <c r="A266" s="86"/>
      <c r="B266" s="132" t="s">
        <v>14</v>
      </c>
      <c r="C266" s="126"/>
      <c r="D266" s="126"/>
      <c r="E266" s="19">
        <f t="shared" ref="E266" si="176">SUM(E264:E265)</f>
        <v>2644.3309523809803</v>
      </c>
      <c r="F266" s="3"/>
      <c r="G266" s="30"/>
      <c r="J266">
        <v>264</v>
      </c>
      <c r="K266" s="24" t="s">
        <v>307</v>
      </c>
      <c r="L266" s="23">
        <f t="shared" si="170"/>
        <v>102820.61507936531</v>
      </c>
      <c r="M266" s="23">
        <f t="shared" si="171"/>
        <v>94761.904761904763</v>
      </c>
      <c r="N266" s="23">
        <f t="shared" si="174"/>
        <v>8058.71031746055</v>
      </c>
      <c r="O266" s="23">
        <f t="shared" si="172"/>
        <v>14782857.14285757</v>
      </c>
    </row>
    <row r="267" spans="1:15" ht="18.600000000000001" thickBot="1" x14ac:dyDescent="0.5">
      <c r="A267" s="97" t="s">
        <v>15</v>
      </c>
      <c r="B267" s="98"/>
      <c r="C267" s="98"/>
      <c r="D267" s="99"/>
      <c r="E267" s="20">
        <f t="shared" ref="E267" si="177">E258+E263+E266</f>
        <v>4540.9254642857422</v>
      </c>
      <c r="F267" s="3"/>
      <c r="J267">
        <v>265</v>
      </c>
      <c r="K267" s="24" t="s">
        <v>308</v>
      </c>
      <c r="L267" s="23">
        <f t="shared" si="170"/>
        <v>102769.28571428594</v>
      </c>
      <c r="M267" s="23">
        <f t="shared" si="171"/>
        <v>94761.904761904763</v>
      </c>
      <c r="N267" s="23">
        <f t="shared" si="174"/>
        <v>8007.3809523811842</v>
      </c>
      <c r="O267" s="23">
        <f t="shared" si="172"/>
        <v>14688095.238095665</v>
      </c>
    </row>
    <row r="268" spans="1:15" ht="18.600000000000001" thickBot="1" x14ac:dyDescent="0.5">
      <c r="A268" s="6"/>
      <c r="B268" s="126" t="s">
        <v>16</v>
      </c>
      <c r="C268" s="126"/>
      <c r="D268" s="126"/>
      <c r="E268" s="19">
        <f t="shared" ref="E268" si="178">H259</f>
        <v>2852.333333333333</v>
      </c>
      <c r="F268" s="3"/>
      <c r="J268">
        <v>266</v>
      </c>
      <c r="K268" s="24" t="s">
        <v>309</v>
      </c>
      <c r="L268" s="23">
        <f t="shared" si="170"/>
        <v>102717.95634920658</v>
      </c>
      <c r="M268" s="23">
        <f t="shared" si="171"/>
        <v>94761.904761904763</v>
      </c>
      <c r="N268" s="23">
        <f t="shared" si="174"/>
        <v>7956.0515873018194</v>
      </c>
      <c r="O268" s="23">
        <f t="shared" si="172"/>
        <v>14593333.33333376</v>
      </c>
    </row>
    <row r="269" spans="1:15" ht="18.600000000000001" thickBot="1" x14ac:dyDescent="0.5">
      <c r="A269" s="97" t="s">
        <v>17</v>
      </c>
      <c r="B269" s="98"/>
      <c r="C269" s="98"/>
      <c r="D269" s="99"/>
      <c r="E269" s="20">
        <f t="shared" ref="E269" si="179">E268</f>
        <v>2852.333333333333</v>
      </c>
      <c r="F269" s="3"/>
      <c r="J269">
        <v>267</v>
      </c>
      <c r="K269" s="24" t="s">
        <v>310</v>
      </c>
      <c r="L269" s="23">
        <f t="shared" si="170"/>
        <v>102666.62698412722</v>
      </c>
      <c r="M269" s="23">
        <f t="shared" si="171"/>
        <v>94761.904761904763</v>
      </c>
      <c r="N269" s="23">
        <f t="shared" si="174"/>
        <v>7904.7222222224545</v>
      </c>
      <c r="O269" s="23">
        <f t="shared" si="172"/>
        <v>14498571.428571856</v>
      </c>
    </row>
    <row r="270" spans="1:15" ht="18.600000000000001" thickBot="1" x14ac:dyDescent="0.5">
      <c r="A270" s="96" t="s">
        <v>18</v>
      </c>
      <c r="B270" s="96"/>
      <c r="C270" s="96"/>
      <c r="D270" s="96"/>
      <c r="E270" s="14">
        <f t="shared" ref="E270" si="180">12*H254</f>
        <v>156</v>
      </c>
      <c r="F270" s="3"/>
      <c r="J270">
        <v>268</v>
      </c>
      <c r="K270" s="24" t="s">
        <v>311</v>
      </c>
      <c r="L270" s="23">
        <f t="shared" si="170"/>
        <v>102615.29761904785</v>
      </c>
      <c r="M270" s="23">
        <f t="shared" si="171"/>
        <v>94761.904761904763</v>
      </c>
      <c r="N270" s="23">
        <f t="shared" si="174"/>
        <v>7853.3928571430888</v>
      </c>
      <c r="O270" s="23">
        <f t="shared" si="172"/>
        <v>14403809.523809951</v>
      </c>
    </row>
    <row r="271" spans="1:15" ht="18.600000000000001" thickBot="1" x14ac:dyDescent="0.5">
      <c r="A271" s="3"/>
      <c r="B271" s="3"/>
      <c r="C271" s="3"/>
      <c r="D271" s="3"/>
      <c r="E271" s="3"/>
      <c r="F271" s="3"/>
      <c r="J271">
        <v>269</v>
      </c>
      <c r="K271" s="24" t="s">
        <v>312</v>
      </c>
      <c r="L271" s="23">
        <f t="shared" si="170"/>
        <v>102563.96825396849</v>
      </c>
      <c r="M271" s="23">
        <f t="shared" si="171"/>
        <v>94761.904761904763</v>
      </c>
      <c r="N271" s="23">
        <f t="shared" si="174"/>
        <v>7802.063492063724</v>
      </c>
      <c r="O271" s="23">
        <f t="shared" si="172"/>
        <v>14309047.619048046</v>
      </c>
    </row>
    <row r="272" spans="1:15" ht="18.600000000000001" thickBot="1" x14ac:dyDescent="0.5">
      <c r="A272" s="12" t="s">
        <v>19</v>
      </c>
      <c r="B272" s="12"/>
      <c r="C272" s="12"/>
      <c r="D272" s="12"/>
      <c r="E272" s="15">
        <f t="shared" ref="E272" si="181">-((E269-E267)/E270)</f>
        <v>10.824308531746214</v>
      </c>
      <c r="F272" s="3" t="s">
        <v>20</v>
      </c>
      <c r="J272">
        <v>270</v>
      </c>
      <c r="K272" s="24" t="s">
        <v>313</v>
      </c>
      <c r="L272" s="23">
        <f t="shared" si="170"/>
        <v>102512.63888888912</v>
      </c>
      <c r="M272" s="23">
        <f t="shared" si="171"/>
        <v>94761.904761904763</v>
      </c>
      <c r="N272" s="23">
        <f t="shared" si="174"/>
        <v>7750.7341269843591</v>
      </c>
      <c r="O272" s="23">
        <f t="shared" si="172"/>
        <v>14214285.714286141</v>
      </c>
    </row>
    <row r="273" spans="1:15" x14ac:dyDescent="0.45">
      <c r="A273" s="3"/>
      <c r="B273" s="3"/>
      <c r="C273" s="3"/>
      <c r="D273" s="3"/>
      <c r="E273" s="3"/>
      <c r="F273" s="3"/>
      <c r="J273">
        <v>271</v>
      </c>
      <c r="K273" s="24" t="s">
        <v>314</v>
      </c>
      <c r="L273" s="23">
        <f t="shared" si="170"/>
        <v>102461.30952380976</v>
      </c>
      <c r="M273" s="23">
        <f t="shared" si="171"/>
        <v>94761.904761904763</v>
      </c>
      <c r="N273" s="23">
        <f t="shared" si="174"/>
        <v>7699.4047619049934</v>
      </c>
      <c r="O273" s="23">
        <f t="shared" si="172"/>
        <v>14119523.809524236</v>
      </c>
    </row>
    <row r="274" spans="1:15" ht="18.600000000000001" thickBot="1" x14ac:dyDescent="0.5">
      <c r="A274" s="3"/>
      <c r="B274" s="3"/>
      <c r="D274" s="3"/>
      <c r="E274" s="3"/>
      <c r="F274" s="3"/>
      <c r="J274">
        <v>272</v>
      </c>
      <c r="K274" s="24" t="s">
        <v>315</v>
      </c>
      <c r="L274" s="23">
        <f t="shared" si="170"/>
        <v>102409.9801587304</v>
      </c>
      <c r="M274" s="23">
        <f t="shared" si="171"/>
        <v>94761.904761904763</v>
      </c>
      <c r="N274" s="23">
        <f t="shared" si="174"/>
        <v>7648.0753968256286</v>
      </c>
      <c r="O274" s="23">
        <f t="shared" si="172"/>
        <v>14024761.904762331</v>
      </c>
    </row>
    <row r="275" spans="1:15" ht="18.600000000000001" thickBot="1" x14ac:dyDescent="0.5">
      <c r="A275" s="10" t="s">
        <v>4</v>
      </c>
      <c r="B275" s="3"/>
      <c r="C275" s="3"/>
      <c r="D275" s="3"/>
      <c r="E275" s="4" t="s">
        <v>1</v>
      </c>
      <c r="F275" s="4"/>
      <c r="G275" s="38" t="s">
        <v>508</v>
      </c>
      <c r="H275" s="42">
        <f t="shared" ref="H275" si="182">H254+1</f>
        <v>14</v>
      </c>
      <c r="I275" t="s">
        <v>509</v>
      </c>
      <c r="J275">
        <v>273</v>
      </c>
      <c r="K275" s="24" t="s">
        <v>316</v>
      </c>
      <c r="L275" s="23">
        <f t="shared" si="170"/>
        <v>102358.65079365103</v>
      </c>
      <c r="M275" s="23">
        <f t="shared" si="171"/>
        <v>94761.904761904763</v>
      </c>
      <c r="N275" s="23">
        <f t="shared" si="174"/>
        <v>7596.7460317462637</v>
      </c>
      <c r="O275" s="23">
        <f t="shared" si="172"/>
        <v>13930000.000000427</v>
      </c>
    </row>
    <row r="276" spans="1:15" ht="18.600000000000001" thickBot="1" x14ac:dyDescent="0.5">
      <c r="A276" s="133" t="s">
        <v>5</v>
      </c>
      <c r="B276" s="133"/>
      <c r="C276" s="133"/>
      <c r="D276" s="133"/>
      <c r="E276" s="11" t="s">
        <v>0</v>
      </c>
      <c r="F276" s="3"/>
      <c r="G276" s="36" t="s">
        <v>464</v>
      </c>
      <c r="H276" s="37">
        <f t="shared" ref="H276:H281" si="183">H255</f>
        <v>3980</v>
      </c>
      <c r="I276" t="s">
        <v>465</v>
      </c>
      <c r="J276">
        <v>274</v>
      </c>
      <c r="K276" s="24" t="s">
        <v>317</v>
      </c>
      <c r="L276" s="23">
        <f t="shared" si="170"/>
        <v>102307.32142857167</v>
      </c>
      <c r="M276" s="23">
        <f t="shared" si="171"/>
        <v>94761.904761904763</v>
      </c>
      <c r="N276" s="23">
        <f t="shared" si="174"/>
        <v>7545.416666666898</v>
      </c>
      <c r="O276" s="23">
        <f t="shared" si="172"/>
        <v>13835238.095238522</v>
      </c>
    </row>
    <row r="277" spans="1:15" ht="18.600000000000001" thickBot="1" x14ac:dyDescent="0.5">
      <c r="A277" s="85"/>
      <c r="B277" s="87"/>
      <c r="C277" s="127" t="s">
        <v>3</v>
      </c>
      <c r="D277" s="128"/>
      <c r="E277" s="29">
        <f t="shared" ref="E277" si="184">IF(H279="",0,H279)</f>
        <v>0</v>
      </c>
      <c r="F277" s="3"/>
      <c r="G277" s="25" t="s">
        <v>466</v>
      </c>
      <c r="H277" s="43">
        <f t="shared" si="183"/>
        <v>0.65</v>
      </c>
      <c r="I277" t="s">
        <v>469</v>
      </c>
      <c r="J277">
        <v>275</v>
      </c>
      <c r="K277" s="24" t="s">
        <v>318</v>
      </c>
      <c r="L277" s="23">
        <f t="shared" si="170"/>
        <v>102255.9920634923</v>
      </c>
      <c r="M277" s="23">
        <f t="shared" si="171"/>
        <v>94761.904761904763</v>
      </c>
      <c r="N277" s="23">
        <f t="shared" si="174"/>
        <v>7494.0873015875331</v>
      </c>
      <c r="O277" s="23">
        <f t="shared" si="172"/>
        <v>13740476.190476617</v>
      </c>
    </row>
    <row r="278" spans="1:15" ht="18.600000000000001" thickBot="1" x14ac:dyDescent="0.5">
      <c r="A278" s="86"/>
      <c r="B278" s="88"/>
      <c r="C278" s="127" t="s">
        <v>6</v>
      </c>
      <c r="D278" s="128"/>
      <c r="E278" s="19">
        <f>IF(H282="",$H$7*0.06,H282)</f>
        <v>238.79999999999998</v>
      </c>
      <c r="F278" s="3"/>
      <c r="G278" s="25" t="s">
        <v>467</v>
      </c>
      <c r="H278" s="37">
        <f t="shared" si="183"/>
        <v>35</v>
      </c>
      <c r="I278" t="s">
        <v>468</v>
      </c>
      <c r="J278">
        <v>276</v>
      </c>
      <c r="K278" s="24" t="s">
        <v>319</v>
      </c>
      <c r="L278" s="23">
        <f t="shared" si="170"/>
        <v>102204.66269841293</v>
      </c>
      <c r="M278" s="23">
        <f t="shared" si="171"/>
        <v>94761.904761904763</v>
      </c>
      <c r="N278" s="23">
        <f t="shared" si="174"/>
        <v>7442.7579365081683</v>
      </c>
      <c r="O278" s="23">
        <f t="shared" si="172"/>
        <v>13645714.285714712</v>
      </c>
    </row>
    <row r="279" spans="1:15" ht="18.600000000000001" thickBot="1" x14ac:dyDescent="0.5">
      <c r="A279" s="86"/>
      <c r="B279" s="91" t="s">
        <v>7</v>
      </c>
      <c r="C279" s="92"/>
      <c r="D279" s="92"/>
      <c r="E279" s="19">
        <f t="shared" ref="E279" si="185">SUM(E277:E278)</f>
        <v>238.79999999999998</v>
      </c>
      <c r="F279" s="3"/>
      <c r="G279" s="28" t="s">
        <v>3</v>
      </c>
      <c r="H279" s="37">
        <f t="shared" si="183"/>
        <v>0</v>
      </c>
      <c r="I279" t="s">
        <v>465</v>
      </c>
      <c r="J279">
        <v>277</v>
      </c>
      <c r="K279" s="24" t="s">
        <v>320</v>
      </c>
      <c r="L279" s="23">
        <f t="shared" si="170"/>
        <v>102153.33333333356</v>
      </c>
      <c r="M279" s="23">
        <f t="shared" si="171"/>
        <v>94761.904761904763</v>
      </c>
      <c r="N279" s="23">
        <f t="shared" si="174"/>
        <v>7391.4285714288026</v>
      </c>
      <c r="O279" s="23">
        <f t="shared" si="172"/>
        <v>13550952.380952807</v>
      </c>
    </row>
    <row r="280" spans="1:15" ht="18.600000000000001" thickBot="1" x14ac:dyDescent="0.5">
      <c r="A280" s="86"/>
      <c r="B280" s="7"/>
      <c r="C280" s="5" t="s">
        <v>8</v>
      </c>
      <c r="D280" s="5"/>
      <c r="E280" s="49">
        <f t="shared" ref="E280" si="186">_xlfn.SWITCH(H275,1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1882.175166666668</v>
      </c>
      <c r="F280" s="3"/>
      <c r="G280" s="28" t="s">
        <v>16</v>
      </c>
      <c r="H280" s="37">
        <f>真実の家賃!$I$8*AD16</f>
        <v>2794.844444444444</v>
      </c>
      <c r="I280" t="s">
        <v>465</v>
      </c>
      <c r="J280">
        <v>278</v>
      </c>
      <c r="K280" s="24" t="s">
        <v>321</v>
      </c>
      <c r="L280" s="23">
        <f t="shared" si="170"/>
        <v>102102.0039682542</v>
      </c>
      <c r="M280" s="23">
        <f t="shared" si="171"/>
        <v>94761.904761904763</v>
      </c>
      <c r="N280" s="23">
        <f t="shared" si="174"/>
        <v>7340.0992063494377</v>
      </c>
      <c r="O280" s="23">
        <f t="shared" si="172"/>
        <v>13456190.476190902</v>
      </c>
    </row>
    <row r="281" spans="1:15" ht="18.600000000000001" thickBot="1" x14ac:dyDescent="0.5">
      <c r="A281" s="86"/>
      <c r="B281" s="8"/>
      <c r="C281" s="127" t="s">
        <v>2</v>
      </c>
      <c r="D281" s="128"/>
      <c r="E281" s="19">
        <f t="shared" ref="E281" si="187">IF(H283="",H275*15,H283)</f>
        <v>210</v>
      </c>
      <c r="F281" s="3"/>
      <c r="G281" s="56" t="s">
        <v>573</v>
      </c>
      <c r="H281" s="40" t="str">
        <f t="shared" si="183"/>
        <v/>
      </c>
      <c r="I281" t="s">
        <v>465</v>
      </c>
      <c r="J281">
        <v>279</v>
      </c>
      <c r="K281" s="24" t="s">
        <v>322</v>
      </c>
      <c r="L281" s="23">
        <f t="shared" si="170"/>
        <v>102050.67460317483</v>
      </c>
      <c r="M281" s="23">
        <f t="shared" si="171"/>
        <v>94761.904761904763</v>
      </c>
      <c r="N281" s="23">
        <f t="shared" si="174"/>
        <v>7288.7698412700729</v>
      </c>
      <c r="O281" s="23">
        <f t="shared" si="172"/>
        <v>13361428.571428997</v>
      </c>
    </row>
    <row r="282" spans="1:15" ht="18.600000000000001" thickBot="1" x14ac:dyDescent="0.5">
      <c r="A282" s="86"/>
      <c r="B282" s="8"/>
      <c r="C282" s="129" t="s">
        <v>9</v>
      </c>
      <c r="D282" s="129"/>
      <c r="E282" s="19">
        <f t="shared" ref="E282" si="188">_xlfn.SWITCH(H275,1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282" s="3"/>
      <c r="G282" s="34" t="s">
        <v>6</v>
      </c>
      <c r="H282" s="40" t="str">
        <f t="shared" si="147"/>
        <v/>
      </c>
      <c r="I282" t="s">
        <v>465</v>
      </c>
      <c r="J282">
        <v>280</v>
      </c>
      <c r="K282" s="24" t="s">
        <v>323</v>
      </c>
      <c r="L282" s="23">
        <f t="shared" si="170"/>
        <v>101999.34523809547</v>
      </c>
      <c r="M282" s="23">
        <f t="shared" si="171"/>
        <v>94761.904761904763</v>
      </c>
      <c r="N282" s="23">
        <f t="shared" si="174"/>
        <v>7237.4404761907072</v>
      </c>
      <c r="O282" s="23">
        <f t="shared" si="172"/>
        <v>13266666.666667093</v>
      </c>
    </row>
    <row r="283" spans="1:15" ht="18.600000000000001" thickBot="1" x14ac:dyDescent="0.5">
      <c r="A283" s="86"/>
      <c r="B283" s="8"/>
      <c r="C283" s="130" t="s">
        <v>10</v>
      </c>
      <c r="D283" s="131"/>
      <c r="E283" s="49">
        <f t="shared" ref="E283" si="189">IF(H281="",$Z$3,H275*H281)</f>
        <v>0</v>
      </c>
      <c r="F283" s="3"/>
      <c r="G283" s="28" t="s">
        <v>560</v>
      </c>
      <c r="H283" s="40" t="str">
        <f t="shared" si="147"/>
        <v/>
      </c>
      <c r="I283" t="s">
        <v>465</v>
      </c>
      <c r="J283">
        <v>281</v>
      </c>
      <c r="K283" s="24" t="s">
        <v>324</v>
      </c>
      <c r="L283" s="23">
        <f t="shared" si="170"/>
        <v>101948.01587301611</v>
      </c>
      <c r="M283" s="23">
        <f t="shared" si="171"/>
        <v>94761.904761904763</v>
      </c>
      <c r="N283" s="23">
        <f t="shared" si="174"/>
        <v>7186.1111111113423</v>
      </c>
      <c r="O283" s="23">
        <f t="shared" si="172"/>
        <v>13171904.761905188</v>
      </c>
    </row>
    <row r="284" spans="1:15" ht="18.600000000000001" thickBot="1" x14ac:dyDescent="0.5">
      <c r="A284" s="86"/>
      <c r="B284" s="132" t="s">
        <v>11</v>
      </c>
      <c r="C284" s="126"/>
      <c r="D284" s="126"/>
      <c r="E284" s="19">
        <f t="shared" ref="E284" si="190">SUM(E280:E283)</f>
        <v>1802.4311666666665</v>
      </c>
      <c r="F284" s="3"/>
      <c r="G284" s="33" t="s">
        <v>561</v>
      </c>
      <c r="H284" s="41" t="str">
        <f t="shared" si="147"/>
        <v/>
      </c>
      <c r="I284" t="s">
        <v>465</v>
      </c>
      <c r="J284">
        <v>282</v>
      </c>
      <c r="K284" s="24" t="s">
        <v>325</v>
      </c>
      <c r="L284" s="23">
        <f t="shared" si="170"/>
        <v>101896.68650793674</v>
      </c>
      <c r="M284" s="23">
        <f t="shared" si="171"/>
        <v>94761.904761904763</v>
      </c>
      <c r="N284" s="23">
        <f t="shared" si="174"/>
        <v>7134.7817460319775</v>
      </c>
      <c r="O284" s="23">
        <f t="shared" si="172"/>
        <v>13077142.857143283</v>
      </c>
    </row>
    <row r="285" spans="1:15" ht="18.600000000000001" thickBot="1" x14ac:dyDescent="0.5">
      <c r="A285" s="86"/>
      <c r="B285" s="7"/>
      <c r="C285" s="127" t="s">
        <v>12</v>
      </c>
      <c r="D285" s="128"/>
      <c r="E285" s="19">
        <f t="shared" ref="E285" si="191">_xlfn.SWITCH(H275,1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2388.00000000003</v>
      </c>
      <c r="F285" s="3"/>
      <c r="G285" s="30"/>
      <c r="J285">
        <v>283</v>
      </c>
      <c r="K285" s="24" t="s">
        <v>326</v>
      </c>
      <c r="L285" s="23">
        <f t="shared" si="170"/>
        <v>101845.35714285738</v>
      </c>
      <c r="M285" s="23">
        <f t="shared" si="171"/>
        <v>94761.904761904763</v>
      </c>
      <c r="N285" s="23">
        <f t="shared" si="174"/>
        <v>7083.4523809526117</v>
      </c>
      <c r="O285" s="23">
        <f t="shared" si="172"/>
        <v>12982380.952381378</v>
      </c>
    </row>
    <row r="286" spans="1:15" ht="18.600000000000001" thickBot="1" x14ac:dyDescent="0.5">
      <c r="A286" s="86"/>
      <c r="B286" s="8"/>
      <c r="C286" s="127" t="s">
        <v>13</v>
      </c>
      <c r="D286" s="128"/>
      <c r="E286" s="19">
        <f>IF(H284="",H280*0.05,H284)</f>
        <v>139.74222222222221</v>
      </c>
      <c r="F286" s="3"/>
      <c r="G286" s="30"/>
      <c r="J286">
        <v>284</v>
      </c>
      <c r="K286" s="24" t="s">
        <v>327</v>
      </c>
      <c r="L286" s="23">
        <f t="shared" si="170"/>
        <v>101794.02777777801</v>
      </c>
      <c r="M286" s="23">
        <f t="shared" si="171"/>
        <v>94761.904761904763</v>
      </c>
      <c r="N286" s="23">
        <f t="shared" si="174"/>
        <v>7032.1230158732469</v>
      </c>
      <c r="O286" s="23">
        <f t="shared" si="172"/>
        <v>12887619.047619473</v>
      </c>
    </row>
    <row r="287" spans="1:15" ht="18.600000000000001" thickBot="1" x14ac:dyDescent="0.5">
      <c r="A287" s="86"/>
      <c r="B287" s="132" t="s">
        <v>14</v>
      </c>
      <c r="C287" s="126"/>
      <c r="D287" s="126"/>
      <c r="E287" s="19">
        <f t="shared" ref="E287" si="192">SUM(E285:E286)</f>
        <v>2527.7422222222522</v>
      </c>
      <c r="F287" s="3"/>
      <c r="G287" s="30"/>
      <c r="J287">
        <v>285</v>
      </c>
      <c r="K287" s="24" t="s">
        <v>328</v>
      </c>
      <c r="L287" s="23">
        <f t="shared" si="170"/>
        <v>101742.69841269865</v>
      </c>
      <c r="M287" s="23">
        <f t="shared" si="171"/>
        <v>94761.904761904763</v>
      </c>
      <c r="N287" s="23">
        <f t="shared" si="174"/>
        <v>6980.7936507938821</v>
      </c>
      <c r="O287" s="23">
        <f t="shared" si="172"/>
        <v>12792857.142857568</v>
      </c>
    </row>
    <row r="288" spans="1:15" ht="18.600000000000001" thickBot="1" x14ac:dyDescent="0.5">
      <c r="A288" s="97" t="s">
        <v>15</v>
      </c>
      <c r="B288" s="98"/>
      <c r="C288" s="98"/>
      <c r="D288" s="99"/>
      <c r="E288" s="20">
        <f t="shared" ref="E288" si="193">E279+E284+E287</f>
        <v>4568.9733888889186</v>
      </c>
      <c r="F288" s="3"/>
      <c r="J288">
        <v>286</v>
      </c>
      <c r="K288" s="24" t="s">
        <v>329</v>
      </c>
      <c r="L288" s="23">
        <f t="shared" si="170"/>
        <v>101691.36904761929</v>
      </c>
      <c r="M288" s="23">
        <f t="shared" si="171"/>
        <v>94761.904761904763</v>
      </c>
      <c r="N288" s="23">
        <f t="shared" si="174"/>
        <v>6929.4642857145163</v>
      </c>
      <c r="O288" s="23">
        <f t="shared" si="172"/>
        <v>12698095.238095663</v>
      </c>
    </row>
    <row r="289" spans="1:15" ht="18.600000000000001" thickBot="1" x14ac:dyDescent="0.5">
      <c r="A289" s="6"/>
      <c r="B289" s="126" t="s">
        <v>16</v>
      </c>
      <c r="C289" s="126"/>
      <c r="D289" s="126"/>
      <c r="E289" s="19">
        <f t="shared" ref="E289" si="194">H280</f>
        <v>2794.844444444444</v>
      </c>
      <c r="F289" s="3"/>
      <c r="J289">
        <v>287</v>
      </c>
      <c r="K289" s="24" t="s">
        <v>330</v>
      </c>
      <c r="L289" s="23">
        <f t="shared" si="170"/>
        <v>101640.03968253991</v>
      </c>
      <c r="M289" s="23">
        <f t="shared" si="171"/>
        <v>94761.904761904763</v>
      </c>
      <c r="N289" s="23">
        <f t="shared" si="174"/>
        <v>6878.1349206351515</v>
      </c>
      <c r="O289" s="23">
        <f t="shared" si="172"/>
        <v>12603333.333333759</v>
      </c>
    </row>
    <row r="290" spans="1:15" ht="18.600000000000001" thickBot="1" x14ac:dyDescent="0.5">
      <c r="A290" s="97" t="s">
        <v>17</v>
      </c>
      <c r="B290" s="98"/>
      <c r="C290" s="98"/>
      <c r="D290" s="99"/>
      <c r="E290" s="20">
        <f t="shared" ref="E290" si="195">E289</f>
        <v>2794.844444444444</v>
      </c>
      <c r="F290" s="3"/>
      <c r="J290">
        <v>288</v>
      </c>
      <c r="K290" s="24" t="s">
        <v>331</v>
      </c>
      <c r="L290" s="23">
        <f t="shared" si="170"/>
        <v>101588.71031746054</v>
      </c>
      <c r="M290" s="23">
        <f t="shared" si="171"/>
        <v>94761.904761904763</v>
      </c>
      <c r="N290" s="23">
        <f t="shared" si="174"/>
        <v>6826.8055555557867</v>
      </c>
      <c r="O290" s="23">
        <f t="shared" si="172"/>
        <v>12508571.428571854</v>
      </c>
    </row>
    <row r="291" spans="1:15" ht="18.600000000000001" thickBot="1" x14ac:dyDescent="0.5">
      <c r="A291" s="96" t="s">
        <v>18</v>
      </c>
      <c r="B291" s="96"/>
      <c r="C291" s="96"/>
      <c r="D291" s="96"/>
      <c r="E291" s="14">
        <f t="shared" ref="E291" si="196">12*H275</f>
        <v>168</v>
      </c>
      <c r="F291" s="3"/>
      <c r="J291">
        <v>289</v>
      </c>
      <c r="K291" s="24" t="s">
        <v>332</v>
      </c>
      <c r="L291" s="23">
        <f t="shared" si="170"/>
        <v>101537.38095238118</v>
      </c>
      <c r="M291" s="23">
        <f t="shared" si="171"/>
        <v>94761.904761904763</v>
      </c>
      <c r="N291" s="23">
        <f t="shared" si="174"/>
        <v>6775.4761904764209</v>
      </c>
      <c r="O291" s="23">
        <f t="shared" si="172"/>
        <v>12413809.523809949</v>
      </c>
    </row>
    <row r="292" spans="1:15" ht="18.600000000000001" thickBot="1" x14ac:dyDescent="0.5">
      <c r="A292" s="3"/>
      <c r="B292" s="3"/>
      <c r="C292" s="3"/>
      <c r="D292" s="3"/>
      <c r="E292" s="3"/>
      <c r="F292" s="3"/>
      <c r="J292">
        <v>290</v>
      </c>
      <c r="K292" s="24" t="s">
        <v>333</v>
      </c>
      <c r="L292" s="23">
        <f t="shared" si="170"/>
        <v>101486.05158730182</v>
      </c>
      <c r="M292" s="23">
        <f t="shared" si="171"/>
        <v>94761.904761904763</v>
      </c>
      <c r="N292" s="23">
        <f t="shared" si="174"/>
        <v>6724.1468253970561</v>
      </c>
      <c r="O292" s="23">
        <f t="shared" si="172"/>
        <v>12319047.619048044</v>
      </c>
    </row>
    <row r="293" spans="1:15" ht="18.600000000000001" thickBot="1" x14ac:dyDescent="0.5">
      <c r="A293" s="12" t="s">
        <v>19</v>
      </c>
      <c r="B293" s="12"/>
      <c r="C293" s="12"/>
      <c r="D293" s="12"/>
      <c r="E293" s="15">
        <f t="shared" ref="E293" si="197">-((E290-E288)/E291)</f>
        <v>10.560291335979016</v>
      </c>
      <c r="F293" s="3" t="s">
        <v>20</v>
      </c>
      <c r="J293">
        <v>291</v>
      </c>
      <c r="K293" s="24" t="s">
        <v>334</v>
      </c>
      <c r="L293" s="23">
        <f t="shared" si="170"/>
        <v>101434.72222222245</v>
      </c>
      <c r="M293" s="23">
        <f t="shared" si="171"/>
        <v>94761.904761904763</v>
      </c>
      <c r="N293" s="23">
        <f t="shared" si="174"/>
        <v>6672.8174603176913</v>
      </c>
      <c r="O293" s="23">
        <f t="shared" si="172"/>
        <v>12224285.714286139</v>
      </c>
    </row>
    <row r="294" spans="1:15" x14ac:dyDescent="0.45">
      <c r="A294" s="3"/>
      <c r="B294" s="3"/>
      <c r="C294" s="3"/>
      <c r="D294" s="3"/>
      <c r="E294" s="3"/>
      <c r="F294" s="3"/>
      <c r="J294">
        <v>292</v>
      </c>
      <c r="K294" s="24" t="s">
        <v>335</v>
      </c>
      <c r="L294" s="23">
        <f t="shared" si="170"/>
        <v>101383.39285714309</v>
      </c>
      <c r="M294" s="23">
        <f t="shared" si="171"/>
        <v>94761.904761904763</v>
      </c>
      <c r="N294" s="23">
        <f t="shared" si="174"/>
        <v>6621.4880952383255</v>
      </c>
      <c r="O294" s="23">
        <f t="shared" si="172"/>
        <v>12129523.809524234</v>
      </c>
    </row>
    <row r="295" spans="1:15" ht="18.600000000000001" thickBot="1" x14ac:dyDescent="0.5">
      <c r="A295" s="3"/>
      <c r="B295" s="3"/>
      <c r="D295" s="3"/>
      <c r="E295" s="3"/>
      <c r="F295" s="3"/>
      <c r="J295">
        <v>293</v>
      </c>
      <c r="K295" s="24" t="s">
        <v>336</v>
      </c>
      <c r="L295" s="23">
        <f t="shared" si="170"/>
        <v>101332.06349206372</v>
      </c>
      <c r="M295" s="23">
        <f t="shared" si="171"/>
        <v>94761.904761904763</v>
      </c>
      <c r="N295" s="23">
        <f t="shared" si="174"/>
        <v>6570.1587301589607</v>
      </c>
      <c r="O295" s="23">
        <f t="shared" si="172"/>
        <v>12034761.90476233</v>
      </c>
    </row>
    <row r="296" spans="1:15" ht="18.600000000000001" thickBot="1" x14ac:dyDescent="0.5">
      <c r="A296" s="10" t="s">
        <v>4</v>
      </c>
      <c r="B296" s="3"/>
      <c r="C296" s="3"/>
      <c r="D296" s="3"/>
      <c r="E296" s="4" t="s">
        <v>1</v>
      </c>
      <c r="F296" s="4"/>
      <c r="G296" s="38" t="s">
        <v>508</v>
      </c>
      <c r="H296" s="42">
        <f t="shared" ref="H296" si="198">H275+1</f>
        <v>15</v>
      </c>
      <c r="I296" t="s">
        <v>509</v>
      </c>
      <c r="J296">
        <v>294</v>
      </c>
      <c r="K296" s="24" t="s">
        <v>337</v>
      </c>
      <c r="L296" s="23">
        <f t="shared" si="170"/>
        <v>101280.73412698436</v>
      </c>
      <c r="M296" s="23">
        <f t="shared" si="171"/>
        <v>94761.904761904763</v>
      </c>
      <c r="N296" s="23">
        <f t="shared" si="174"/>
        <v>6518.8293650795958</v>
      </c>
      <c r="O296" s="23">
        <f t="shared" si="172"/>
        <v>11940000.000000425</v>
      </c>
    </row>
    <row r="297" spans="1:15" ht="18.600000000000001" thickBot="1" x14ac:dyDescent="0.5">
      <c r="A297" s="133" t="s">
        <v>5</v>
      </c>
      <c r="B297" s="133"/>
      <c r="C297" s="133"/>
      <c r="D297" s="133"/>
      <c r="E297" s="11" t="s">
        <v>0</v>
      </c>
      <c r="F297" s="3"/>
      <c r="G297" s="36" t="s">
        <v>464</v>
      </c>
      <c r="H297" s="37">
        <f t="shared" ref="H297:H302" si="199">H276</f>
        <v>3980</v>
      </c>
      <c r="I297" t="s">
        <v>465</v>
      </c>
      <c r="J297">
        <v>295</v>
      </c>
      <c r="K297" s="24" t="s">
        <v>338</v>
      </c>
      <c r="L297" s="23">
        <f t="shared" si="170"/>
        <v>101229.404761905</v>
      </c>
      <c r="M297" s="23">
        <f t="shared" si="171"/>
        <v>94761.904761904763</v>
      </c>
      <c r="N297" s="23">
        <f t="shared" si="174"/>
        <v>6467.5000000002301</v>
      </c>
      <c r="O297" s="23">
        <f t="shared" si="172"/>
        <v>11845238.09523852</v>
      </c>
    </row>
    <row r="298" spans="1:15" ht="18.600000000000001" thickBot="1" x14ac:dyDescent="0.5">
      <c r="A298" s="85"/>
      <c r="B298" s="87"/>
      <c r="C298" s="127" t="s">
        <v>3</v>
      </c>
      <c r="D298" s="128"/>
      <c r="E298" s="29">
        <f t="shared" ref="E298" si="200">IF(H300="",0,H300)</f>
        <v>0</v>
      </c>
      <c r="F298" s="3"/>
      <c r="G298" s="25" t="s">
        <v>466</v>
      </c>
      <c r="H298" s="43">
        <f t="shared" si="199"/>
        <v>0.65</v>
      </c>
      <c r="I298" t="s">
        <v>469</v>
      </c>
      <c r="J298">
        <v>296</v>
      </c>
      <c r="K298" s="24" t="s">
        <v>339</v>
      </c>
      <c r="L298" s="23">
        <f t="shared" si="170"/>
        <v>101178.07539682563</v>
      </c>
      <c r="M298" s="23">
        <f t="shared" si="171"/>
        <v>94761.904761904763</v>
      </c>
      <c r="N298" s="23">
        <f t="shared" si="174"/>
        <v>6416.1706349208653</v>
      </c>
      <c r="O298" s="23">
        <f t="shared" si="172"/>
        <v>11750476.190476615</v>
      </c>
    </row>
    <row r="299" spans="1:15" ht="18.600000000000001" thickBot="1" x14ac:dyDescent="0.5">
      <c r="A299" s="86"/>
      <c r="B299" s="88"/>
      <c r="C299" s="127" t="s">
        <v>6</v>
      </c>
      <c r="D299" s="128"/>
      <c r="E299" s="19">
        <f>IF(H303="",$H$7*0.06,H303)</f>
        <v>238.79999999999998</v>
      </c>
      <c r="F299" s="3"/>
      <c r="G299" s="25" t="s">
        <v>467</v>
      </c>
      <c r="H299" s="37">
        <f t="shared" si="199"/>
        <v>35</v>
      </c>
      <c r="I299" t="s">
        <v>468</v>
      </c>
      <c r="J299">
        <v>297</v>
      </c>
      <c r="K299" s="24" t="s">
        <v>340</v>
      </c>
      <c r="L299" s="23">
        <f t="shared" si="170"/>
        <v>101126.74603174627</v>
      </c>
      <c r="M299" s="23">
        <f t="shared" si="171"/>
        <v>94761.904761904763</v>
      </c>
      <c r="N299" s="23">
        <f t="shared" si="174"/>
        <v>6364.8412698415004</v>
      </c>
      <c r="O299" s="23">
        <f t="shared" si="172"/>
        <v>11655714.28571471</v>
      </c>
    </row>
    <row r="300" spans="1:15" ht="18.600000000000001" thickBot="1" x14ac:dyDescent="0.5">
      <c r="A300" s="86"/>
      <c r="B300" s="91" t="s">
        <v>7</v>
      </c>
      <c r="C300" s="92"/>
      <c r="D300" s="92"/>
      <c r="E300" s="19">
        <f t="shared" ref="E300" si="201">SUM(E298:E299)</f>
        <v>238.79999999999998</v>
      </c>
      <c r="F300" s="3"/>
      <c r="G300" s="28" t="s">
        <v>3</v>
      </c>
      <c r="H300" s="37">
        <f t="shared" si="199"/>
        <v>0</v>
      </c>
      <c r="I300" t="s">
        <v>465</v>
      </c>
      <c r="J300">
        <v>298</v>
      </c>
      <c r="K300" s="24" t="s">
        <v>341</v>
      </c>
      <c r="L300" s="23">
        <f t="shared" si="170"/>
        <v>101075.4166666669</v>
      </c>
      <c r="M300" s="23">
        <f t="shared" si="171"/>
        <v>94761.904761904763</v>
      </c>
      <c r="N300" s="23">
        <f t="shared" si="174"/>
        <v>6313.5119047621347</v>
      </c>
      <c r="O300" s="23">
        <f t="shared" si="172"/>
        <v>11560952.380952805</v>
      </c>
    </row>
    <row r="301" spans="1:15" ht="18.600000000000001" thickBot="1" x14ac:dyDescent="0.5">
      <c r="A301" s="86"/>
      <c r="B301" s="7"/>
      <c r="C301" s="5" t="s">
        <v>8</v>
      </c>
      <c r="D301" s="5"/>
      <c r="E301" s="49">
        <f t="shared" ref="E301" si="202">_xlfn.SWITCH(H296,1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2011.0726785714303</v>
      </c>
      <c r="F301" s="3"/>
      <c r="G301" s="28" t="s">
        <v>16</v>
      </c>
      <c r="H301" s="37">
        <f>真実の家賃!$I$8*AD17</f>
        <v>2737.3555555555549</v>
      </c>
      <c r="I301" t="s">
        <v>465</v>
      </c>
      <c r="J301">
        <v>299</v>
      </c>
      <c r="K301" s="24" t="s">
        <v>342</v>
      </c>
      <c r="L301" s="23">
        <f t="shared" si="170"/>
        <v>101024.08730158754</v>
      </c>
      <c r="M301" s="23">
        <f t="shared" si="171"/>
        <v>94761.904761904763</v>
      </c>
      <c r="N301" s="23">
        <f t="shared" si="174"/>
        <v>6262.1825396827699</v>
      </c>
      <c r="O301" s="23">
        <f t="shared" si="172"/>
        <v>11466190.4761909</v>
      </c>
    </row>
    <row r="302" spans="1:15" ht="18.600000000000001" thickBot="1" x14ac:dyDescent="0.5">
      <c r="A302" s="86"/>
      <c r="B302" s="8"/>
      <c r="C302" s="127" t="s">
        <v>2</v>
      </c>
      <c r="D302" s="128"/>
      <c r="E302" s="19">
        <f t="shared" ref="E302" si="203">IF(H304="",H296*15,H304)</f>
        <v>225</v>
      </c>
      <c r="F302" s="3"/>
      <c r="G302" s="56" t="s">
        <v>573</v>
      </c>
      <c r="H302" s="40" t="str">
        <f t="shared" si="199"/>
        <v/>
      </c>
      <c r="I302" t="s">
        <v>465</v>
      </c>
      <c r="J302">
        <v>300</v>
      </c>
      <c r="K302" s="24" t="s">
        <v>343</v>
      </c>
      <c r="L302" s="23">
        <f t="shared" si="170"/>
        <v>100972.75793650816</v>
      </c>
      <c r="M302" s="23">
        <f t="shared" si="171"/>
        <v>94761.904761904763</v>
      </c>
      <c r="N302" s="23">
        <f t="shared" si="174"/>
        <v>6210.853174603405</v>
      </c>
      <c r="O302" s="23">
        <f t="shared" si="172"/>
        <v>11371428.571428996</v>
      </c>
    </row>
    <row r="303" spans="1:15" ht="18.600000000000001" thickBot="1" x14ac:dyDescent="0.5">
      <c r="A303" s="86"/>
      <c r="B303" s="8"/>
      <c r="C303" s="129" t="s">
        <v>9</v>
      </c>
      <c r="D303" s="129"/>
      <c r="E303" s="19">
        <f t="shared" ref="E303" si="204">_xlfn.SWITCH(H296,1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303" s="3"/>
      <c r="G303" s="34" t="s">
        <v>6</v>
      </c>
      <c r="H303" s="40" t="str">
        <f t="shared" si="163"/>
        <v/>
      </c>
      <c r="I303" t="s">
        <v>465</v>
      </c>
      <c r="J303">
        <v>301</v>
      </c>
      <c r="K303" s="24" t="s">
        <v>344</v>
      </c>
      <c r="L303" s="23">
        <f t="shared" si="170"/>
        <v>100921.4285714288</v>
      </c>
      <c r="M303" s="23">
        <f t="shared" si="171"/>
        <v>94761.904761904763</v>
      </c>
      <c r="N303" s="23">
        <f t="shared" si="174"/>
        <v>6159.5238095240393</v>
      </c>
      <c r="O303" s="23">
        <f t="shared" si="172"/>
        <v>11276666.666667091</v>
      </c>
    </row>
    <row r="304" spans="1:15" ht="18.600000000000001" thickBot="1" x14ac:dyDescent="0.5">
      <c r="A304" s="86"/>
      <c r="B304" s="8"/>
      <c r="C304" s="130" t="s">
        <v>10</v>
      </c>
      <c r="D304" s="131"/>
      <c r="E304" s="49">
        <f t="shared" ref="E304" si="205">IF(H302="",$Z$3,H296*H302)</f>
        <v>0</v>
      </c>
      <c r="F304" s="3"/>
      <c r="G304" s="28" t="s">
        <v>560</v>
      </c>
      <c r="H304" s="40" t="str">
        <f t="shared" si="163"/>
        <v/>
      </c>
      <c r="I304" t="s">
        <v>465</v>
      </c>
      <c r="J304">
        <v>302</v>
      </c>
      <c r="K304" s="24" t="s">
        <v>345</v>
      </c>
      <c r="L304" s="23">
        <f t="shared" si="170"/>
        <v>100870.09920634943</v>
      </c>
      <c r="M304" s="23">
        <f t="shared" si="171"/>
        <v>94761.904761904763</v>
      </c>
      <c r="N304" s="23">
        <f t="shared" si="174"/>
        <v>6108.1944444446744</v>
      </c>
      <c r="O304" s="23">
        <f t="shared" si="172"/>
        <v>11181904.761905186</v>
      </c>
    </row>
    <row r="305" spans="1:15" ht="18.600000000000001" thickBot="1" x14ac:dyDescent="0.5">
      <c r="A305" s="86"/>
      <c r="B305" s="132" t="s">
        <v>11</v>
      </c>
      <c r="C305" s="126"/>
      <c r="D305" s="126"/>
      <c r="E305" s="19">
        <f t="shared" ref="E305" si="206">SUM(E301:E304)</f>
        <v>1946.3286785714292</v>
      </c>
      <c r="F305" s="3"/>
      <c r="G305" s="33" t="s">
        <v>561</v>
      </c>
      <c r="H305" s="41" t="str">
        <f t="shared" si="163"/>
        <v/>
      </c>
      <c r="I305" t="s">
        <v>465</v>
      </c>
      <c r="J305">
        <v>303</v>
      </c>
      <c r="K305" s="24" t="s">
        <v>346</v>
      </c>
      <c r="L305" s="23">
        <f t="shared" si="170"/>
        <v>100818.76984127007</v>
      </c>
      <c r="M305" s="23">
        <f t="shared" si="171"/>
        <v>94761.904761904763</v>
      </c>
      <c r="N305" s="23">
        <f t="shared" si="174"/>
        <v>6056.8650793653096</v>
      </c>
      <c r="O305" s="23">
        <f t="shared" si="172"/>
        <v>11087142.857143281</v>
      </c>
    </row>
    <row r="306" spans="1:15" ht="18.600000000000001" thickBot="1" x14ac:dyDescent="0.5">
      <c r="A306" s="86"/>
      <c r="B306" s="7"/>
      <c r="C306" s="127" t="s">
        <v>12</v>
      </c>
      <c r="D306" s="128"/>
      <c r="E306" s="19">
        <f t="shared" ref="E306" si="207">_xlfn.SWITCH(H296,1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2274.2857142857461</v>
      </c>
      <c r="F306" s="3"/>
      <c r="G306" s="30"/>
      <c r="J306">
        <v>304</v>
      </c>
      <c r="K306" s="24" t="s">
        <v>347</v>
      </c>
      <c r="L306" s="23">
        <f t="shared" si="170"/>
        <v>100767.44047619071</v>
      </c>
      <c r="M306" s="23">
        <f t="shared" si="171"/>
        <v>94761.904761904763</v>
      </c>
      <c r="N306" s="23">
        <f t="shared" si="174"/>
        <v>6005.5357142859439</v>
      </c>
      <c r="O306" s="23">
        <f t="shared" si="172"/>
        <v>10992380.952381376</v>
      </c>
    </row>
    <row r="307" spans="1:15" ht="18.600000000000001" thickBot="1" x14ac:dyDescent="0.5">
      <c r="A307" s="86"/>
      <c r="B307" s="8"/>
      <c r="C307" s="127" t="s">
        <v>13</v>
      </c>
      <c r="D307" s="128"/>
      <c r="E307" s="19">
        <f>IF(H305="",H301*0.05,H305)</f>
        <v>136.86777777777775</v>
      </c>
      <c r="F307" s="3"/>
      <c r="G307" s="30"/>
      <c r="J307">
        <v>305</v>
      </c>
      <c r="K307" s="24" t="s">
        <v>348</v>
      </c>
      <c r="L307" s="23">
        <f t="shared" si="170"/>
        <v>100716.11111111134</v>
      </c>
      <c r="M307" s="23">
        <f t="shared" si="171"/>
        <v>94761.904761904763</v>
      </c>
      <c r="N307" s="23">
        <f t="shared" si="174"/>
        <v>5954.206349206579</v>
      </c>
      <c r="O307" s="23">
        <f t="shared" si="172"/>
        <v>10897619.047619471</v>
      </c>
    </row>
    <row r="308" spans="1:15" ht="18.600000000000001" thickBot="1" x14ac:dyDescent="0.5">
      <c r="A308" s="86"/>
      <c r="B308" s="132" t="s">
        <v>14</v>
      </c>
      <c r="C308" s="126"/>
      <c r="D308" s="126"/>
      <c r="E308" s="19">
        <f t="shared" ref="E308" si="208">SUM(E306:E307)</f>
        <v>2411.153492063524</v>
      </c>
      <c r="F308" s="3"/>
      <c r="G308" s="30"/>
      <c r="J308">
        <v>306</v>
      </c>
      <c r="K308" s="24" t="s">
        <v>349</v>
      </c>
      <c r="L308" s="23">
        <f t="shared" si="170"/>
        <v>100664.78174603198</v>
      </c>
      <c r="M308" s="23">
        <f t="shared" si="171"/>
        <v>94761.904761904763</v>
      </c>
      <c r="N308" s="23">
        <f t="shared" si="174"/>
        <v>5902.8769841272142</v>
      </c>
      <c r="O308" s="23">
        <f t="shared" si="172"/>
        <v>10802857.142857566</v>
      </c>
    </row>
    <row r="309" spans="1:15" ht="18.600000000000001" thickBot="1" x14ac:dyDescent="0.5">
      <c r="A309" s="97" t="s">
        <v>15</v>
      </c>
      <c r="B309" s="98"/>
      <c r="C309" s="98"/>
      <c r="D309" s="99"/>
      <c r="E309" s="20">
        <f t="shared" ref="E309" si="209">E300+E305+E308</f>
        <v>4596.2821706349532</v>
      </c>
      <c r="F309" s="3"/>
      <c r="J309">
        <v>307</v>
      </c>
      <c r="K309" s="24" t="s">
        <v>350</v>
      </c>
      <c r="L309" s="23">
        <f t="shared" si="170"/>
        <v>100613.45238095261</v>
      </c>
      <c r="M309" s="23">
        <f t="shared" si="171"/>
        <v>94761.904761904763</v>
      </c>
      <c r="N309" s="23">
        <f t="shared" si="174"/>
        <v>5851.5476190478485</v>
      </c>
      <c r="O309" s="23">
        <f t="shared" si="172"/>
        <v>10708095.238095662</v>
      </c>
    </row>
    <row r="310" spans="1:15" ht="18.600000000000001" thickBot="1" x14ac:dyDescent="0.5">
      <c r="A310" s="6"/>
      <c r="B310" s="126" t="s">
        <v>16</v>
      </c>
      <c r="C310" s="126"/>
      <c r="D310" s="126"/>
      <c r="E310" s="19">
        <f t="shared" ref="E310" si="210">H301</f>
        <v>2737.3555555555549</v>
      </c>
      <c r="F310" s="3"/>
      <c r="J310">
        <v>308</v>
      </c>
      <c r="K310" s="24" t="s">
        <v>351</v>
      </c>
      <c r="L310" s="23">
        <f t="shared" si="170"/>
        <v>100562.12301587325</v>
      </c>
      <c r="M310" s="23">
        <f t="shared" si="171"/>
        <v>94761.904761904763</v>
      </c>
      <c r="N310" s="23">
        <f t="shared" si="174"/>
        <v>5800.2182539684836</v>
      </c>
      <c r="O310" s="23">
        <f t="shared" si="172"/>
        <v>10613333.333333757</v>
      </c>
    </row>
    <row r="311" spans="1:15" ht="18.600000000000001" thickBot="1" x14ac:dyDescent="0.5">
      <c r="A311" s="97" t="s">
        <v>17</v>
      </c>
      <c r="B311" s="98"/>
      <c r="C311" s="98"/>
      <c r="D311" s="99"/>
      <c r="E311" s="20">
        <f t="shared" ref="E311" si="211">E310</f>
        <v>2737.3555555555549</v>
      </c>
      <c r="F311" s="3"/>
      <c r="J311">
        <v>309</v>
      </c>
      <c r="K311" s="24" t="s">
        <v>352</v>
      </c>
      <c r="L311" s="23">
        <f t="shared" si="170"/>
        <v>100510.79365079389</v>
      </c>
      <c r="M311" s="23">
        <f t="shared" si="171"/>
        <v>94761.904761904763</v>
      </c>
      <c r="N311" s="23">
        <f t="shared" si="174"/>
        <v>5748.8888888891188</v>
      </c>
      <c r="O311" s="23">
        <f t="shared" si="172"/>
        <v>10518571.428571852</v>
      </c>
    </row>
    <row r="312" spans="1:15" ht="18.600000000000001" thickBot="1" x14ac:dyDescent="0.5">
      <c r="A312" s="96" t="s">
        <v>18</v>
      </c>
      <c r="B312" s="96"/>
      <c r="C312" s="96"/>
      <c r="D312" s="96"/>
      <c r="E312" s="14">
        <f t="shared" ref="E312" si="212">12*H296</f>
        <v>180</v>
      </c>
      <c r="F312" s="3"/>
      <c r="J312">
        <v>310</v>
      </c>
      <c r="K312" s="24" t="s">
        <v>353</v>
      </c>
      <c r="L312" s="23">
        <f t="shared" si="170"/>
        <v>100459.46428571452</v>
      </c>
      <c r="M312" s="23">
        <f t="shared" si="171"/>
        <v>94761.904761904763</v>
      </c>
      <c r="N312" s="23">
        <f t="shared" si="174"/>
        <v>5697.559523809753</v>
      </c>
      <c r="O312" s="23">
        <f t="shared" si="172"/>
        <v>10423809.523809947</v>
      </c>
    </row>
    <row r="313" spans="1:15" ht="18.600000000000001" thickBot="1" x14ac:dyDescent="0.5">
      <c r="A313" s="3"/>
      <c r="B313" s="3"/>
      <c r="C313" s="3"/>
      <c r="D313" s="3"/>
      <c r="E313" s="3"/>
      <c r="F313" s="3"/>
      <c r="J313">
        <v>311</v>
      </c>
      <c r="K313" s="24" t="s">
        <v>354</v>
      </c>
      <c r="L313" s="23">
        <f t="shared" si="170"/>
        <v>100408.13492063514</v>
      </c>
      <c r="M313" s="23">
        <f t="shared" si="171"/>
        <v>94761.904761904763</v>
      </c>
      <c r="N313" s="23">
        <f t="shared" si="174"/>
        <v>5646.2301587303882</v>
      </c>
      <c r="O313" s="23">
        <f t="shared" si="172"/>
        <v>10329047.619048042</v>
      </c>
    </row>
    <row r="314" spans="1:15" ht="18.600000000000001" thickBot="1" x14ac:dyDescent="0.5">
      <c r="A314" s="12" t="s">
        <v>19</v>
      </c>
      <c r="B314" s="12"/>
      <c r="C314" s="12"/>
      <c r="D314" s="12"/>
      <c r="E314" s="15">
        <f t="shared" ref="E314" si="213">-((E311-E309)/E312)</f>
        <v>10.327370083774435</v>
      </c>
      <c r="F314" s="3" t="s">
        <v>20</v>
      </c>
      <c r="J314">
        <v>312</v>
      </c>
      <c r="K314" s="24" t="s">
        <v>355</v>
      </c>
      <c r="L314" s="23">
        <f t="shared" si="170"/>
        <v>100356.80555555578</v>
      </c>
      <c r="M314" s="23">
        <f t="shared" si="171"/>
        <v>94761.904761904763</v>
      </c>
      <c r="N314" s="23">
        <f t="shared" si="174"/>
        <v>5594.9007936510234</v>
      </c>
      <c r="O314" s="23">
        <f t="shared" si="172"/>
        <v>10234285.714286137</v>
      </c>
    </row>
    <row r="315" spans="1:15" x14ac:dyDescent="0.45">
      <c r="A315" s="3"/>
      <c r="B315" s="3"/>
      <c r="C315" s="3"/>
      <c r="D315" s="3"/>
      <c r="E315" s="3"/>
      <c r="F315" s="3"/>
      <c r="J315">
        <v>313</v>
      </c>
      <c r="K315" s="24" t="s">
        <v>356</v>
      </c>
      <c r="L315" s="23">
        <f t="shared" si="170"/>
        <v>100305.47619047642</v>
      </c>
      <c r="M315" s="23">
        <f t="shared" si="171"/>
        <v>94761.904761904763</v>
      </c>
      <c r="N315" s="23">
        <f t="shared" si="174"/>
        <v>5543.5714285716576</v>
      </c>
      <c r="O315" s="23">
        <f t="shared" si="172"/>
        <v>10139523.809524233</v>
      </c>
    </row>
    <row r="316" spans="1:15" ht="18.600000000000001" thickBot="1" x14ac:dyDescent="0.5">
      <c r="A316" s="3"/>
      <c r="B316" s="3"/>
      <c r="D316" s="3"/>
      <c r="E316" s="3"/>
      <c r="F316" s="3"/>
      <c r="J316">
        <v>314</v>
      </c>
      <c r="K316" s="24" t="s">
        <v>357</v>
      </c>
      <c r="L316" s="23">
        <f t="shared" si="170"/>
        <v>100254.14682539705</v>
      </c>
      <c r="M316" s="23">
        <f t="shared" si="171"/>
        <v>94761.904761904763</v>
      </c>
      <c r="N316" s="23">
        <f t="shared" si="174"/>
        <v>5492.2420634922928</v>
      </c>
      <c r="O316" s="23">
        <f t="shared" si="172"/>
        <v>10044761.904762328</v>
      </c>
    </row>
    <row r="317" spans="1:15" ht="18.600000000000001" thickBot="1" x14ac:dyDescent="0.5">
      <c r="A317" s="10" t="s">
        <v>4</v>
      </c>
      <c r="B317" s="3"/>
      <c r="C317" s="3"/>
      <c r="D317" s="3"/>
      <c r="E317" s="4" t="s">
        <v>1</v>
      </c>
      <c r="F317" s="4"/>
      <c r="G317" s="38" t="s">
        <v>508</v>
      </c>
      <c r="H317" s="42">
        <f t="shared" ref="H317" si="214">H296+1</f>
        <v>16</v>
      </c>
      <c r="I317" t="s">
        <v>509</v>
      </c>
      <c r="J317">
        <v>315</v>
      </c>
      <c r="K317" s="24" t="s">
        <v>358</v>
      </c>
      <c r="L317" s="23">
        <f t="shared" si="170"/>
        <v>100202.81746031769</v>
      </c>
      <c r="M317" s="23">
        <f t="shared" si="171"/>
        <v>94761.904761904763</v>
      </c>
      <c r="N317" s="23">
        <f t="shared" si="174"/>
        <v>5440.912698412928</v>
      </c>
      <c r="O317" s="23">
        <f t="shared" si="172"/>
        <v>9950000.0000004228</v>
      </c>
    </row>
    <row r="318" spans="1:15" ht="18.600000000000001" thickBot="1" x14ac:dyDescent="0.5">
      <c r="A318" s="133" t="s">
        <v>5</v>
      </c>
      <c r="B318" s="133"/>
      <c r="C318" s="133"/>
      <c r="D318" s="133"/>
      <c r="E318" s="11" t="s">
        <v>0</v>
      </c>
      <c r="F318" s="3"/>
      <c r="G318" s="36" t="s">
        <v>464</v>
      </c>
      <c r="H318" s="37">
        <f t="shared" ref="H318:H368" si="215">H297</f>
        <v>3980</v>
      </c>
      <c r="I318" t="s">
        <v>465</v>
      </c>
      <c r="J318">
        <v>316</v>
      </c>
      <c r="K318" s="24" t="s">
        <v>359</v>
      </c>
      <c r="L318" s="23">
        <f t="shared" si="170"/>
        <v>100151.48809523832</v>
      </c>
      <c r="M318" s="23">
        <f t="shared" si="171"/>
        <v>94761.904761904763</v>
      </c>
      <c r="N318" s="23">
        <f t="shared" si="174"/>
        <v>5389.5833333335631</v>
      </c>
      <c r="O318" s="23">
        <f t="shared" si="172"/>
        <v>9855238.095238518</v>
      </c>
    </row>
    <row r="319" spans="1:15" ht="18.600000000000001" thickBot="1" x14ac:dyDescent="0.5">
      <c r="A319" s="85"/>
      <c r="B319" s="87"/>
      <c r="C319" s="127" t="s">
        <v>3</v>
      </c>
      <c r="D319" s="128"/>
      <c r="E319" s="29">
        <f t="shared" ref="E319" si="216">IF(H321="",0,H321)</f>
        <v>0</v>
      </c>
      <c r="F319" s="3"/>
      <c r="G319" s="25" t="s">
        <v>466</v>
      </c>
      <c r="H319" s="43">
        <f t="shared" si="215"/>
        <v>0.65</v>
      </c>
      <c r="I319" t="s">
        <v>469</v>
      </c>
      <c r="J319">
        <v>317</v>
      </c>
      <c r="K319" s="24" t="s">
        <v>360</v>
      </c>
      <c r="L319" s="23">
        <f t="shared" si="170"/>
        <v>100100.15873015896</v>
      </c>
      <c r="M319" s="23">
        <f t="shared" si="171"/>
        <v>94761.904761904763</v>
      </c>
      <c r="N319" s="23">
        <f t="shared" si="174"/>
        <v>5338.2539682541983</v>
      </c>
      <c r="O319" s="23">
        <f t="shared" si="172"/>
        <v>9760476.1904766131</v>
      </c>
    </row>
    <row r="320" spans="1:15" ht="18.600000000000001" thickBot="1" x14ac:dyDescent="0.5">
      <c r="A320" s="86"/>
      <c r="B320" s="88"/>
      <c r="C320" s="127" t="s">
        <v>6</v>
      </c>
      <c r="D320" s="128"/>
      <c r="E320" s="19">
        <f>IF(H324="",$H$7*0.06,H324)</f>
        <v>238.79999999999998</v>
      </c>
      <c r="F320" s="3"/>
      <c r="G320" s="25" t="s">
        <v>467</v>
      </c>
      <c r="H320" s="37">
        <f t="shared" si="215"/>
        <v>35</v>
      </c>
      <c r="I320" t="s">
        <v>468</v>
      </c>
      <c r="J320">
        <v>318</v>
      </c>
      <c r="K320" s="24" t="s">
        <v>361</v>
      </c>
      <c r="L320" s="23">
        <f t="shared" si="170"/>
        <v>100048.8293650796</v>
      </c>
      <c r="M320" s="23">
        <f t="shared" si="171"/>
        <v>94761.904761904763</v>
      </c>
      <c r="N320" s="23">
        <f t="shared" si="174"/>
        <v>5286.9246031748326</v>
      </c>
      <c r="O320" s="23">
        <f t="shared" si="172"/>
        <v>9665714.2857147083</v>
      </c>
    </row>
    <row r="321" spans="1:15" ht="18.600000000000001" thickBot="1" x14ac:dyDescent="0.5">
      <c r="A321" s="86"/>
      <c r="B321" s="91" t="s">
        <v>7</v>
      </c>
      <c r="C321" s="92"/>
      <c r="D321" s="92"/>
      <c r="E321" s="19">
        <f t="shared" ref="E321" si="217">SUM(E319:E320)</f>
        <v>238.79999999999998</v>
      </c>
      <c r="F321" s="3"/>
      <c r="G321" s="28" t="s">
        <v>3</v>
      </c>
      <c r="H321" s="37">
        <f t="shared" si="215"/>
        <v>0</v>
      </c>
      <c r="I321" t="s">
        <v>465</v>
      </c>
      <c r="J321">
        <v>319</v>
      </c>
      <c r="K321" s="24" t="s">
        <v>362</v>
      </c>
      <c r="L321" s="23">
        <f t="shared" si="170"/>
        <v>99997.500000000233</v>
      </c>
      <c r="M321" s="23">
        <f t="shared" si="171"/>
        <v>94761.904761904763</v>
      </c>
      <c r="N321" s="23">
        <f t="shared" si="174"/>
        <v>5235.5952380954677</v>
      </c>
      <c r="O321" s="23">
        <f t="shared" si="172"/>
        <v>9570952.3809528034</v>
      </c>
    </row>
    <row r="322" spans="1:15" ht="18.600000000000001" thickBot="1" x14ac:dyDescent="0.5">
      <c r="A322" s="86"/>
      <c r="B322" s="7"/>
      <c r="C322" s="5" t="s">
        <v>8</v>
      </c>
      <c r="D322" s="5"/>
      <c r="E322" s="49">
        <f t="shared" ref="E322" si="218">_xlfn.SWITCH(H317,1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2139.2310476190491</v>
      </c>
      <c r="F322" s="3"/>
      <c r="G322" s="28" t="s">
        <v>16</v>
      </c>
      <c r="H322" s="37">
        <f>真実の家賃!$I$8*AD18</f>
        <v>2679.8666666666659</v>
      </c>
      <c r="I322" t="s">
        <v>465</v>
      </c>
      <c r="J322">
        <v>320</v>
      </c>
      <c r="K322" s="24" t="s">
        <v>363</v>
      </c>
      <c r="L322" s="23">
        <f t="shared" si="170"/>
        <v>99946.170634920869</v>
      </c>
      <c r="M322" s="23">
        <f t="shared" si="171"/>
        <v>94761.904761904763</v>
      </c>
      <c r="N322" s="23">
        <f t="shared" si="174"/>
        <v>5184.2658730161029</v>
      </c>
      <c r="O322" s="23">
        <f t="shared" si="172"/>
        <v>9476190.4761908986</v>
      </c>
    </row>
    <row r="323" spans="1:15" ht="18.600000000000001" thickBot="1" x14ac:dyDescent="0.5">
      <c r="A323" s="86"/>
      <c r="B323" s="8"/>
      <c r="C323" s="127" t="s">
        <v>2</v>
      </c>
      <c r="D323" s="128"/>
      <c r="E323" s="19">
        <f t="shared" ref="E323" si="219">IF(H325="",H317*15,H325)</f>
        <v>240</v>
      </c>
      <c r="F323" s="3"/>
      <c r="G323" s="56" t="s">
        <v>573</v>
      </c>
      <c r="H323" s="40" t="str">
        <f t="shared" si="215"/>
        <v/>
      </c>
      <c r="I323" t="s">
        <v>465</v>
      </c>
      <c r="J323">
        <v>321</v>
      </c>
      <c r="K323" s="24" t="s">
        <v>364</v>
      </c>
      <c r="L323" s="23">
        <f t="shared" si="170"/>
        <v>99894.841269841505</v>
      </c>
      <c r="M323" s="23">
        <f t="shared" si="171"/>
        <v>94761.904761904763</v>
      </c>
      <c r="N323" s="23">
        <f t="shared" si="174"/>
        <v>5132.9365079367371</v>
      </c>
      <c r="O323" s="23">
        <f t="shared" si="172"/>
        <v>9381428.5714289937</v>
      </c>
    </row>
    <row r="324" spans="1:15" ht="18.600000000000001" thickBot="1" x14ac:dyDescent="0.5">
      <c r="A324" s="86"/>
      <c r="B324" s="8"/>
      <c r="C324" s="129" t="s">
        <v>9</v>
      </c>
      <c r="D324" s="129"/>
      <c r="E324" s="19">
        <f t="shared" ref="E324" si="220">_xlfn.SWITCH(H317,1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324" s="3"/>
      <c r="G324" s="34" t="s">
        <v>6</v>
      </c>
      <c r="H324" s="40" t="str">
        <f t="shared" si="215"/>
        <v/>
      </c>
      <c r="I324" t="s">
        <v>465</v>
      </c>
      <c r="J324">
        <v>322</v>
      </c>
      <c r="K324" s="24" t="s">
        <v>365</v>
      </c>
      <c r="L324" s="23">
        <f t="shared" si="170"/>
        <v>99843.511904762141</v>
      </c>
      <c r="M324" s="23">
        <f t="shared" si="171"/>
        <v>94761.904761904763</v>
      </c>
      <c r="N324" s="23">
        <f t="shared" si="174"/>
        <v>5081.6071428573723</v>
      </c>
      <c r="O324" s="23">
        <f t="shared" si="172"/>
        <v>9286666.6666670889</v>
      </c>
    </row>
    <row r="325" spans="1:15" ht="18.600000000000001" thickBot="1" x14ac:dyDescent="0.5">
      <c r="A325" s="86"/>
      <c r="B325" s="8"/>
      <c r="C325" s="130" t="s">
        <v>10</v>
      </c>
      <c r="D325" s="131"/>
      <c r="E325" s="49">
        <f t="shared" ref="E325" si="221">IF(H323="",$Z$3,H317*H323)</f>
        <v>0</v>
      </c>
      <c r="F325" s="3"/>
      <c r="G325" s="28" t="s">
        <v>560</v>
      </c>
      <c r="H325" s="40" t="str">
        <f t="shared" si="215"/>
        <v/>
      </c>
      <c r="I325" t="s">
        <v>465</v>
      </c>
      <c r="J325">
        <v>323</v>
      </c>
      <c r="K325" s="24" t="s">
        <v>366</v>
      </c>
      <c r="L325" s="23">
        <f t="shared" si="170"/>
        <v>99792.182539682777</v>
      </c>
      <c r="M325" s="23">
        <f t="shared" si="171"/>
        <v>94761.904761904763</v>
      </c>
      <c r="N325" s="23">
        <f t="shared" si="174"/>
        <v>5030.2777777780075</v>
      </c>
      <c r="O325" s="23">
        <f t="shared" si="172"/>
        <v>9191904.761905184</v>
      </c>
    </row>
    <row r="326" spans="1:15" ht="18.600000000000001" thickBot="1" x14ac:dyDescent="0.5">
      <c r="A326" s="86"/>
      <c r="B326" s="132" t="s">
        <v>11</v>
      </c>
      <c r="C326" s="126"/>
      <c r="D326" s="126"/>
      <c r="E326" s="19">
        <f t="shared" ref="E326" si="222">SUM(E322:E325)</f>
        <v>2089.4870476190481</v>
      </c>
      <c r="F326" s="3"/>
      <c r="G326" s="33" t="s">
        <v>561</v>
      </c>
      <c r="H326" s="41" t="str">
        <f t="shared" si="215"/>
        <v/>
      </c>
      <c r="I326" t="s">
        <v>465</v>
      </c>
      <c r="J326">
        <v>324</v>
      </c>
      <c r="K326" s="24" t="s">
        <v>367</v>
      </c>
      <c r="L326" s="23">
        <f t="shared" ref="L326:L389" si="223">IF(O325&lt;=0,0,(M326+N326))</f>
        <v>99740.853174603399</v>
      </c>
      <c r="M326" s="23">
        <f t="shared" ref="M326:M389" si="224">IF(O325&lt;=0,0,(($H$3*10000)/($H$5*12)))</f>
        <v>94761.904761904763</v>
      </c>
      <c r="N326" s="23">
        <f t="shared" si="174"/>
        <v>4978.9484126986417</v>
      </c>
      <c r="O326" s="23">
        <f t="shared" ref="O326:O389" si="225">IF(O325&lt;=0,0,(O325-M326))</f>
        <v>9097142.8571432792</v>
      </c>
    </row>
    <row r="327" spans="1:15" ht="18.600000000000001" thickBot="1" x14ac:dyDescent="0.5">
      <c r="A327" s="86"/>
      <c r="B327" s="7"/>
      <c r="C327" s="127" t="s">
        <v>12</v>
      </c>
      <c r="D327" s="128"/>
      <c r="E327" s="19">
        <f t="shared" ref="E327" si="226">_xlfn.SWITCH(H317,1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2160.5714285714625</v>
      </c>
      <c r="F327" s="3"/>
      <c r="G327" s="30"/>
      <c r="J327">
        <v>325</v>
      </c>
      <c r="K327" s="24" t="s">
        <v>368</v>
      </c>
      <c r="L327" s="23">
        <f t="shared" si="223"/>
        <v>99689.523809524035</v>
      </c>
      <c r="M327" s="23">
        <f t="shared" si="224"/>
        <v>94761.904761904763</v>
      </c>
      <c r="N327" s="23">
        <f t="shared" ref="N327:N390" si="227">IF(O326&lt;=0,0,(O326*($H$4/100)/12))</f>
        <v>4927.6190476192769</v>
      </c>
      <c r="O327" s="23">
        <f t="shared" si="225"/>
        <v>9002380.9523813743</v>
      </c>
    </row>
    <row r="328" spans="1:15" ht="18.600000000000001" thickBot="1" x14ac:dyDescent="0.5">
      <c r="A328" s="86"/>
      <c r="B328" s="8"/>
      <c r="C328" s="127" t="s">
        <v>13</v>
      </c>
      <c r="D328" s="128"/>
      <c r="E328" s="19">
        <f>IF(H326="",H322*0.05,H326)</f>
        <v>133.99333333333331</v>
      </c>
      <c r="F328" s="3"/>
      <c r="G328" s="30"/>
      <c r="J328">
        <v>326</v>
      </c>
      <c r="K328" s="24" t="s">
        <v>369</v>
      </c>
      <c r="L328" s="23">
        <f t="shared" si="223"/>
        <v>99638.194444444671</v>
      </c>
      <c r="M328" s="23">
        <f t="shared" si="224"/>
        <v>94761.904761904763</v>
      </c>
      <c r="N328" s="23">
        <f t="shared" si="227"/>
        <v>4876.2896825399121</v>
      </c>
      <c r="O328" s="23">
        <f t="shared" si="225"/>
        <v>8907619.0476194695</v>
      </c>
    </row>
    <row r="329" spans="1:15" ht="18.600000000000001" thickBot="1" x14ac:dyDescent="0.5">
      <c r="A329" s="86"/>
      <c r="B329" s="132" t="s">
        <v>14</v>
      </c>
      <c r="C329" s="126"/>
      <c r="D329" s="126"/>
      <c r="E329" s="19">
        <f t="shared" ref="E329" si="228">SUM(E327:E328)</f>
        <v>2294.5647619047959</v>
      </c>
      <c r="F329" s="3"/>
      <c r="G329" s="30"/>
      <c r="J329">
        <v>327</v>
      </c>
      <c r="K329" s="24" t="s">
        <v>370</v>
      </c>
      <c r="L329" s="23">
        <f t="shared" si="223"/>
        <v>99586.865079365307</v>
      </c>
      <c r="M329" s="23">
        <f t="shared" si="224"/>
        <v>94761.904761904763</v>
      </c>
      <c r="N329" s="23">
        <f t="shared" si="227"/>
        <v>4824.9603174605463</v>
      </c>
      <c r="O329" s="23">
        <f t="shared" si="225"/>
        <v>8812857.1428575646</v>
      </c>
    </row>
    <row r="330" spans="1:15" ht="18.600000000000001" thickBot="1" x14ac:dyDescent="0.5">
      <c r="A330" s="97" t="s">
        <v>15</v>
      </c>
      <c r="B330" s="98"/>
      <c r="C330" s="98"/>
      <c r="D330" s="99"/>
      <c r="E330" s="20">
        <f t="shared" ref="E330" si="229">E321+E326+E329</f>
        <v>4622.8518095238442</v>
      </c>
      <c r="F330" s="3"/>
      <c r="J330">
        <v>328</v>
      </c>
      <c r="K330" s="24" t="s">
        <v>371</v>
      </c>
      <c r="L330" s="23">
        <f t="shared" si="223"/>
        <v>99535.535714285943</v>
      </c>
      <c r="M330" s="23">
        <f t="shared" si="224"/>
        <v>94761.904761904763</v>
      </c>
      <c r="N330" s="23">
        <f t="shared" si="227"/>
        <v>4773.6309523811815</v>
      </c>
      <c r="O330" s="23">
        <f t="shared" si="225"/>
        <v>8718095.2380956598</v>
      </c>
    </row>
    <row r="331" spans="1:15" ht="18.600000000000001" thickBot="1" x14ac:dyDescent="0.5">
      <c r="A331" s="6"/>
      <c r="B331" s="126" t="s">
        <v>16</v>
      </c>
      <c r="C331" s="126"/>
      <c r="D331" s="126"/>
      <c r="E331" s="19">
        <f t="shared" ref="E331" si="230">H322</f>
        <v>2679.8666666666659</v>
      </c>
      <c r="F331" s="3"/>
      <c r="J331">
        <v>329</v>
      </c>
      <c r="K331" s="24" t="s">
        <v>372</v>
      </c>
      <c r="L331" s="23">
        <f t="shared" si="223"/>
        <v>99484.206349206579</v>
      </c>
      <c r="M331" s="23">
        <f t="shared" si="224"/>
        <v>94761.904761904763</v>
      </c>
      <c r="N331" s="23">
        <f t="shared" si="227"/>
        <v>4722.3015873018167</v>
      </c>
      <c r="O331" s="23">
        <f t="shared" si="225"/>
        <v>8623333.3333337549</v>
      </c>
    </row>
    <row r="332" spans="1:15" ht="18.600000000000001" thickBot="1" x14ac:dyDescent="0.5">
      <c r="A332" s="97" t="s">
        <v>17</v>
      </c>
      <c r="B332" s="98"/>
      <c r="C332" s="98"/>
      <c r="D332" s="99"/>
      <c r="E332" s="20">
        <f t="shared" ref="E332" si="231">E331</f>
        <v>2679.8666666666659</v>
      </c>
      <c r="F332" s="3"/>
      <c r="J332">
        <v>330</v>
      </c>
      <c r="K332" s="24" t="s">
        <v>373</v>
      </c>
      <c r="L332" s="23">
        <f t="shared" si="223"/>
        <v>99432.876984127215</v>
      </c>
      <c r="M332" s="23">
        <f t="shared" si="224"/>
        <v>94761.904761904763</v>
      </c>
      <c r="N332" s="23">
        <f t="shared" si="227"/>
        <v>4670.9722222224509</v>
      </c>
      <c r="O332" s="23">
        <f t="shared" si="225"/>
        <v>8528571.4285718501</v>
      </c>
    </row>
    <row r="333" spans="1:15" ht="18.600000000000001" thickBot="1" x14ac:dyDescent="0.5">
      <c r="A333" s="96" t="s">
        <v>18</v>
      </c>
      <c r="B333" s="96"/>
      <c r="C333" s="96"/>
      <c r="D333" s="96"/>
      <c r="E333" s="14">
        <f t="shared" ref="E333" si="232">12*H317</f>
        <v>192</v>
      </c>
      <c r="F333" s="3"/>
      <c r="J333">
        <v>331</v>
      </c>
      <c r="K333" s="24" t="s">
        <v>374</v>
      </c>
      <c r="L333" s="23">
        <f t="shared" si="223"/>
        <v>99381.547619047851</v>
      </c>
      <c r="M333" s="23">
        <f t="shared" si="224"/>
        <v>94761.904761904763</v>
      </c>
      <c r="N333" s="23">
        <f t="shared" si="227"/>
        <v>4619.6428571430861</v>
      </c>
      <c r="O333" s="23">
        <f t="shared" si="225"/>
        <v>8433809.5238099452</v>
      </c>
    </row>
    <row r="334" spans="1:15" ht="18.600000000000001" thickBot="1" x14ac:dyDescent="0.5">
      <c r="A334" s="3"/>
      <c r="B334" s="3"/>
      <c r="C334" s="3"/>
      <c r="D334" s="3"/>
      <c r="E334" s="3"/>
      <c r="F334" s="3"/>
      <c r="J334">
        <v>332</v>
      </c>
      <c r="K334" s="24" t="s">
        <v>375</v>
      </c>
      <c r="L334" s="23">
        <f t="shared" si="223"/>
        <v>99330.218253968487</v>
      </c>
      <c r="M334" s="23">
        <f t="shared" si="224"/>
        <v>94761.904761904763</v>
      </c>
      <c r="N334" s="23">
        <f t="shared" si="227"/>
        <v>4568.3134920637212</v>
      </c>
      <c r="O334" s="23">
        <f t="shared" si="225"/>
        <v>8339047.6190480404</v>
      </c>
    </row>
    <row r="335" spans="1:15" ht="18.600000000000001" thickBot="1" x14ac:dyDescent="0.5">
      <c r="A335" s="12" t="s">
        <v>19</v>
      </c>
      <c r="B335" s="12"/>
      <c r="C335" s="12"/>
      <c r="D335" s="12"/>
      <c r="E335" s="15">
        <f t="shared" ref="E335" si="233">-((E332-E330)/E333)</f>
        <v>10.119714285714471</v>
      </c>
      <c r="F335" s="3" t="s">
        <v>20</v>
      </c>
      <c r="J335">
        <v>333</v>
      </c>
      <c r="K335" s="24" t="s">
        <v>376</v>
      </c>
      <c r="L335" s="23">
        <f t="shared" si="223"/>
        <v>99278.888888889123</v>
      </c>
      <c r="M335" s="23">
        <f t="shared" si="224"/>
        <v>94761.904761904763</v>
      </c>
      <c r="N335" s="23">
        <f t="shared" si="227"/>
        <v>4516.9841269843555</v>
      </c>
      <c r="O335" s="23">
        <f t="shared" si="225"/>
        <v>8244285.7142861355</v>
      </c>
    </row>
    <row r="336" spans="1:15" x14ac:dyDescent="0.45">
      <c r="A336" s="3"/>
      <c r="B336" s="3"/>
      <c r="C336" s="3"/>
      <c r="D336" s="3"/>
      <c r="E336" s="3"/>
      <c r="F336" s="3"/>
      <c r="J336">
        <v>334</v>
      </c>
      <c r="K336" s="24" t="s">
        <v>377</v>
      </c>
      <c r="L336" s="23">
        <f t="shared" si="223"/>
        <v>99227.559523809759</v>
      </c>
      <c r="M336" s="23">
        <f t="shared" si="224"/>
        <v>94761.904761904763</v>
      </c>
      <c r="N336" s="23">
        <f t="shared" si="227"/>
        <v>4465.6547619049907</v>
      </c>
      <c r="O336" s="23">
        <f t="shared" si="225"/>
        <v>8149523.8095242307</v>
      </c>
    </row>
    <row r="337" spans="1:15" ht="18.600000000000001" thickBot="1" x14ac:dyDescent="0.5">
      <c r="A337" s="3"/>
      <c r="B337" s="3"/>
      <c r="D337" s="3"/>
      <c r="E337" s="3"/>
      <c r="F337" s="3"/>
      <c r="J337">
        <v>335</v>
      </c>
      <c r="K337" s="24" t="s">
        <v>378</v>
      </c>
      <c r="L337" s="23">
        <f t="shared" si="223"/>
        <v>99176.230158730395</v>
      </c>
      <c r="M337" s="23">
        <f t="shared" si="224"/>
        <v>94761.904761904763</v>
      </c>
      <c r="N337" s="23">
        <f t="shared" si="227"/>
        <v>4414.3253968256258</v>
      </c>
      <c r="O337" s="23">
        <f t="shared" si="225"/>
        <v>8054761.9047623258</v>
      </c>
    </row>
    <row r="338" spans="1:15" ht="18.600000000000001" thickBot="1" x14ac:dyDescent="0.5">
      <c r="A338" s="10" t="s">
        <v>4</v>
      </c>
      <c r="B338" s="3"/>
      <c r="C338" s="3"/>
      <c r="D338" s="3"/>
      <c r="E338" s="4" t="s">
        <v>1</v>
      </c>
      <c r="F338" s="4"/>
      <c r="G338" s="38" t="s">
        <v>508</v>
      </c>
      <c r="H338" s="42">
        <f t="shared" ref="H338" si="234">H317+1</f>
        <v>17</v>
      </c>
      <c r="I338" t="s">
        <v>509</v>
      </c>
      <c r="J338">
        <v>336</v>
      </c>
      <c r="K338" s="24" t="s">
        <v>379</v>
      </c>
      <c r="L338" s="23">
        <f t="shared" si="223"/>
        <v>99124.900793651017</v>
      </c>
      <c r="M338" s="23">
        <f t="shared" si="224"/>
        <v>94761.904761904763</v>
      </c>
      <c r="N338" s="23">
        <f t="shared" si="227"/>
        <v>4362.9960317462601</v>
      </c>
      <c r="O338" s="23">
        <f t="shared" si="225"/>
        <v>7960000.000000421</v>
      </c>
    </row>
    <row r="339" spans="1:15" ht="18.600000000000001" thickBot="1" x14ac:dyDescent="0.5">
      <c r="A339" s="133" t="s">
        <v>5</v>
      </c>
      <c r="B339" s="133"/>
      <c r="C339" s="133"/>
      <c r="D339" s="133"/>
      <c r="E339" s="11" t="s">
        <v>0</v>
      </c>
      <c r="F339" s="3"/>
      <c r="G339" s="36" t="s">
        <v>464</v>
      </c>
      <c r="H339" s="37">
        <f t="shared" ref="H339:H389" si="235">H318</f>
        <v>3980</v>
      </c>
      <c r="I339" t="s">
        <v>465</v>
      </c>
      <c r="J339">
        <v>337</v>
      </c>
      <c r="K339" s="24" t="s">
        <v>380</v>
      </c>
      <c r="L339" s="23">
        <f t="shared" si="223"/>
        <v>99073.571428571653</v>
      </c>
      <c r="M339" s="23">
        <f t="shared" si="224"/>
        <v>94761.904761904763</v>
      </c>
      <c r="N339" s="23">
        <f t="shared" si="227"/>
        <v>4311.6666666668953</v>
      </c>
      <c r="O339" s="23">
        <f t="shared" si="225"/>
        <v>7865238.0952385161</v>
      </c>
    </row>
    <row r="340" spans="1:15" ht="18.600000000000001" thickBot="1" x14ac:dyDescent="0.5">
      <c r="A340" s="85"/>
      <c r="B340" s="87"/>
      <c r="C340" s="127" t="s">
        <v>3</v>
      </c>
      <c r="D340" s="128"/>
      <c r="E340" s="29">
        <f t="shared" ref="E340" si="236">IF(H342="",0,H342)</f>
        <v>0</v>
      </c>
      <c r="F340" s="3"/>
      <c r="G340" s="25" t="s">
        <v>466</v>
      </c>
      <c r="H340" s="43">
        <f t="shared" si="235"/>
        <v>0.65</v>
      </c>
      <c r="I340" t="s">
        <v>469</v>
      </c>
      <c r="J340">
        <v>338</v>
      </c>
      <c r="K340" s="24" t="s">
        <v>381</v>
      </c>
      <c r="L340" s="23">
        <f t="shared" si="223"/>
        <v>99022.242063492289</v>
      </c>
      <c r="M340" s="23">
        <f t="shared" si="224"/>
        <v>94761.904761904763</v>
      </c>
      <c r="N340" s="23">
        <f t="shared" si="227"/>
        <v>4260.3373015875304</v>
      </c>
      <c r="O340" s="23">
        <f t="shared" si="225"/>
        <v>7770476.1904766113</v>
      </c>
    </row>
    <row r="341" spans="1:15" ht="18.600000000000001" thickBot="1" x14ac:dyDescent="0.5">
      <c r="A341" s="86"/>
      <c r="B341" s="88"/>
      <c r="C341" s="127" t="s">
        <v>6</v>
      </c>
      <c r="D341" s="128"/>
      <c r="E341" s="19">
        <f>IF(H345="",$H$7*0.06,H345)</f>
        <v>238.79999999999998</v>
      </c>
      <c r="F341" s="3"/>
      <c r="G341" s="25" t="s">
        <v>467</v>
      </c>
      <c r="H341" s="37">
        <f t="shared" si="235"/>
        <v>35</v>
      </c>
      <c r="I341" t="s">
        <v>468</v>
      </c>
      <c r="J341">
        <v>339</v>
      </c>
      <c r="K341" s="24" t="s">
        <v>382</v>
      </c>
      <c r="L341" s="23">
        <f t="shared" si="223"/>
        <v>98970.912698412925</v>
      </c>
      <c r="M341" s="23">
        <f t="shared" si="224"/>
        <v>94761.904761904763</v>
      </c>
      <c r="N341" s="23">
        <f t="shared" si="227"/>
        <v>4209.0079365081647</v>
      </c>
      <c r="O341" s="23">
        <f t="shared" si="225"/>
        <v>7675714.2857147064</v>
      </c>
    </row>
    <row r="342" spans="1:15" ht="18.600000000000001" thickBot="1" x14ac:dyDescent="0.5">
      <c r="A342" s="86"/>
      <c r="B342" s="91" t="s">
        <v>7</v>
      </c>
      <c r="C342" s="92"/>
      <c r="D342" s="92"/>
      <c r="E342" s="19">
        <f t="shared" ref="E342" si="237">SUM(E340:E341)</f>
        <v>238.79999999999998</v>
      </c>
      <c r="F342" s="3"/>
      <c r="G342" s="28" t="s">
        <v>3</v>
      </c>
      <c r="H342" s="37">
        <f t="shared" si="235"/>
        <v>0</v>
      </c>
      <c r="I342" t="s">
        <v>465</v>
      </c>
      <c r="J342">
        <v>340</v>
      </c>
      <c r="K342" s="24" t="s">
        <v>383</v>
      </c>
      <c r="L342" s="23">
        <f t="shared" si="223"/>
        <v>98919.583333333561</v>
      </c>
      <c r="M342" s="23">
        <f t="shared" si="224"/>
        <v>94761.904761904763</v>
      </c>
      <c r="N342" s="23">
        <f t="shared" si="227"/>
        <v>4157.6785714287998</v>
      </c>
      <c r="O342" s="23">
        <f t="shared" si="225"/>
        <v>7580952.3809528016</v>
      </c>
    </row>
    <row r="343" spans="1:15" ht="18.600000000000001" thickBot="1" x14ac:dyDescent="0.5">
      <c r="A343" s="86"/>
      <c r="B343" s="7"/>
      <c r="C343" s="5" t="s">
        <v>8</v>
      </c>
      <c r="D343" s="5"/>
      <c r="E343" s="49">
        <f t="shared" ref="E343" si="238">_xlfn.SWITCH(H338,1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2266.650273809526</v>
      </c>
      <c r="F343" s="3"/>
      <c r="G343" s="28" t="s">
        <v>16</v>
      </c>
      <c r="H343" s="37">
        <f>真実の家賃!$I$8*AD19</f>
        <v>2622.3777777777768</v>
      </c>
      <c r="I343" t="s">
        <v>465</v>
      </c>
      <c r="J343">
        <v>341</v>
      </c>
      <c r="K343" s="24" t="s">
        <v>384</v>
      </c>
      <c r="L343" s="23">
        <f t="shared" si="223"/>
        <v>98868.253968254197</v>
      </c>
      <c r="M343" s="23">
        <f t="shared" si="224"/>
        <v>94761.904761904763</v>
      </c>
      <c r="N343" s="23">
        <f t="shared" si="227"/>
        <v>4106.349206349435</v>
      </c>
      <c r="O343" s="23">
        <f t="shared" si="225"/>
        <v>7486190.4761908967</v>
      </c>
    </row>
    <row r="344" spans="1:15" ht="18.600000000000001" thickBot="1" x14ac:dyDescent="0.5">
      <c r="A344" s="86"/>
      <c r="B344" s="8"/>
      <c r="C344" s="127" t="s">
        <v>2</v>
      </c>
      <c r="D344" s="128"/>
      <c r="E344" s="19">
        <f t="shared" ref="E344" si="239">IF(H346="",H338*15,H346)</f>
        <v>255</v>
      </c>
      <c r="F344" s="3"/>
      <c r="G344" s="56" t="s">
        <v>573</v>
      </c>
      <c r="H344" s="40" t="str">
        <f t="shared" si="235"/>
        <v/>
      </c>
      <c r="I344" t="s">
        <v>465</v>
      </c>
      <c r="J344">
        <v>342</v>
      </c>
      <c r="K344" s="24" t="s">
        <v>385</v>
      </c>
      <c r="L344" s="23">
        <f t="shared" si="223"/>
        <v>98816.924603174833</v>
      </c>
      <c r="M344" s="23">
        <f t="shared" si="224"/>
        <v>94761.904761904763</v>
      </c>
      <c r="N344" s="23">
        <f t="shared" si="227"/>
        <v>4055.0198412700697</v>
      </c>
      <c r="O344" s="23">
        <f t="shared" si="225"/>
        <v>7391428.5714289919</v>
      </c>
    </row>
    <row r="345" spans="1:15" ht="18.600000000000001" thickBot="1" x14ac:dyDescent="0.5">
      <c r="A345" s="86"/>
      <c r="B345" s="8"/>
      <c r="C345" s="129" t="s">
        <v>9</v>
      </c>
      <c r="D345" s="129"/>
      <c r="E345" s="19">
        <f t="shared" ref="E345" si="240">_xlfn.SWITCH(H338,1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345" s="3"/>
      <c r="G345" s="34" t="s">
        <v>6</v>
      </c>
      <c r="H345" s="40" t="str">
        <f t="shared" si="235"/>
        <v/>
      </c>
      <c r="I345" t="s">
        <v>465</v>
      </c>
      <c r="J345">
        <v>343</v>
      </c>
      <c r="K345" s="24" t="s">
        <v>386</v>
      </c>
      <c r="L345" s="23">
        <f t="shared" si="223"/>
        <v>98765.59523809547</v>
      </c>
      <c r="M345" s="23">
        <f t="shared" si="224"/>
        <v>94761.904761904763</v>
      </c>
      <c r="N345" s="23">
        <f t="shared" si="227"/>
        <v>4003.6904761907044</v>
      </c>
      <c r="O345" s="23">
        <f t="shared" si="225"/>
        <v>7296666.666667087</v>
      </c>
    </row>
    <row r="346" spans="1:15" ht="18.600000000000001" thickBot="1" x14ac:dyDescent="0.5">
      <c r="A346" s="86"/>
      <c r="B346" s="8"/>
      <c r="C346" s="130" t="s">
        <v>10</v>
      </c>
      <c r="D346" s="131"/>
      <c r="E346" s="49">
        <f t="shared" ref="E346" si="241">IF(H344="",$Z$3,H338*H344)</f>
        <v>0</v>
      </c>
      <c r="F346" s="3"/>
      <c r="G346" s="28" t="s">
        <v>560</v>
      </c>
      <c r="H346" s="40" t="str">
        <f t="shared" si="235"/>
        <v/>
      </c>
      <c r="I346" t="s">
        <v>465</v>
      </c>
      <c r="J346">
        <v>344</v>
      </c>
      <c r="K346" s="24" t="s">
        <v>387</v>
      </c>
      <c r="L346" s="23">
        <f t="shared" si="223"/>
        <v>98714.265873016106</v>
      </c>
      <c r="M346" s="23">
        <f t="shared" si="224"/>
        <v>94761.904761904763</v>
      </c>
      <c r="N346" s="23">
        <f t="shared" si="227"/>
        <v>3952.3611111113391</v>
      </c>
      <c r="O346" s="23">
        <f t="shared" si="225"/>
        <v>7201904.7619051822</v>
      </c>
    </row>
    <row r="347" spans="1:15" ht="18.600000000000001" thickBot="1" x14ac:dyDescent="0.5">
      <c r="A347" s="86"/>
      <c r="B347" s="132" t="s">
        <v>11</v>
      </c>
      <c r="C347" s="126"/>
      <c r="D347" s="126"/>
      <c r="E347" s="19">
        <f t="shared" ref="E347" si="242">SUM(E343:E346)</f>
        <v>2231.9062738095245</v>
      </c>
      <c r="F347" s="3"/>
      <c r="G347" s="33" t="s">
        <v>561</v>
      </c>
      <c r="H347" s="41" t="str">
        <f t="shared" si="235"/>
        <v/>
      </c>
      <c r="I347" t="s">
        <v>465</v>
      </c>
      <c r="J347">
        <v>345</v>
      </c>
      <c r="K347" s="24" t="s">
        <v>388</v>
      </c>
      <c r="L347" s="23">
        <f t="shared" si="223"/>
        <v>98662.936507936742</v>
      </c>
      <c r="M347" s="23">
        <f t="shared" si="224"/>
        <v>94761.904761904763</v>
      </c>
      <c r="N347" s="23">
        <f t="shared" si="227"/>
        <v>3901.0317460319743</v>
      </c>
      <c r="O347" s="23">
        <f t="shared" si="225"/>
        <v>7107142.8571432773</v>
      </c>
    </row>
    <row r="348" spans="1:15" ht="18.600000000000001" thickBot="1" x14ac:dyDescent="0.5">
      <c r="A348" s="86"/>
      <c r="B348" s="7"/>
      <c r="C348" s="127" t="s">
        <v>12</v>
      </c>
      <c r="D348" s="128"/>
      <c r="E348" s="19">
        <f t="shared" ref="E348" si="243">_xlfn.SWITCH(H338,1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2046.857142857179</v>
      </c>
      <c r="F348" s="3"/>
      <c r="G348" s="30"/>
      <c r="J348">
        <v>346</v>
      </c>
      <c r="K348" s="24" t="s">
        <v>389</v>
      </c>
      <c r="L348" s="23">
        <f t="shared" si="223"/>
        <v>98611.607142857378</v>
      </c>
      <c r="M348" s="23">
        <f t="shared" si="224"/>
        <v>94761.904761904763</v>
      </c>
      <c r="N348" s="23">
        <f t="shared" si="227"/>
        <v>3849.702380952609</v>
      </c>
      <c r="O348" s="23">
        <f t="shared" si="225"/>
        <v>7012380.9523813725</v>
      </c>
    </row>
    <row r="349" spans="1:15" ht="18.600000000000001" thickBot="1" x14ac:dyDescent="0.5">
      <c r="A349" s="86"/>
      <c r="B349" s="8"/>
      <c r="C349" s="127" t="s">
        <v>13</v>
      </c>
      <c r="D349" s="128"/>
      <c r="E349" s="19">
        <f>IF(H347="",H343*0.05,H347)</f>
        <v>131.11888888888885</v>
      </c>
      <c r="F349" s="3"/>
      <c r="G349" s="30"/>
      <c r="J349">
        <v>347</v>
      </c>
      <c r="K349" s="24" t="s">
        <v>390</v>
      </c>
      <c r="L349" s="23">
        <f t="shared" si="223"/>
        <v>98560.277777778014</v>
      </c>
      <c r="M349" s="23">
        <f t="shared" si="224"/>
        <v>94761.904761904763</v>
      </c>
      <c r="N349" s="23">
        <f t="shared" si="227"/>
        <v>3798.3730158732437</v>
      </c>
      <c r="O349" s="23">
        <f t="shared" si="225"/>
        <v>6917619.0476194676</v>
      </c>
    </row>
    <row r="350" spans="1:15" ht="18.600000000000001" thickBot="1" x14ac:dyDescent="0.5">
      <c r="A350" s="86"/>
      <c r="B350" s="132" t="s">
        <v>14</v>
      </c>
      <c r="C350" s="126"/>
      <c r="D350" s="126"/>
      <c r="E350" s="19">
        <f t="shared" ref="E350" si="244">SUM(E348:E349)</f>
        <v>2177.9760317460677</v>
      </c>
      <c r="F350" s="3"/>
      <c r="G350" s="30"/>
      <c r="J350">
        <v>348</v>
      </c>
      <c r="K350" s="24" t="s">
        <v>391</v>
      </c>
      <c r="L350" s="23">
        <f t="shared" si="223"/>
        <v>98508.948412698635</v>
      </c>
      <c r="M350" s="23">
        <f t="shared" si="224"/>
        <v>94761.904761904763</v>
      </c>
      <c r="N350" s="23">
        <f t="shared" si="227"/>
        <v>3747.0436507938789</v>
      </c>
      <c r="O350" s="23">
        <f t="shared" si="225"/>
        <v>6822857.1428575628</v>
      </c>
    </row>
    <row r="351" spans="1:15" ht="18.600000000000001" thickBot="1" x14ac:dyDescent="0.5">
      <c r="A351" s="97" t="s">
        <v>15</v>
      </c>
      <c r="B351" s="98"/>
      <c r="C351" s="98"/>
      <c r="D351" s="99"/>
      <c r="E351" s="20">
        <f t="shared" ref="E351" si="245">E342+E347+E350</f>
        <v>4648.6823055555924</v>
      </c>
      <c r="F351" s="3"/>
      <c r="J351">
        <v>349</v>
      </c>
      <c r="K351" s="24" t="s">
        <v>392</v>
      </c>
      <c r="L351" s="23">
        <f t="shared" si="223"/>
        <v>98457.619047619271</v>
      </c>
      <c r="M351" s="23">
        <f t="shared" si="224"/>
        <v>94761.904761904763</v>
      </c>
      <c r="N351" s="23">
        <f t="shared" si="227"/>
        <v>3695.7142857145136</v>
      </c>
      <c r="O351" s="23">
        <f t="shared" si="225"/>
        <v>6728095.2380956579</v>
      </c>
    </row>
    <row r="352" spans="1:15" ht="18.600000000000001" thickBot="1" x14ac:dyDescent="0.5">
      <c r="A352" s="6"/>
      <c r="B352" s="126" t="s">
        <v>16</v>
      </c>
      <c r="C352" s="126"/>
      <c r="D352" s="126"/>
      <c r="E352" s="19">
        <f t="shared" ref="E352" si="246">H343</f>
        <v>2622.3777777777768</v>
      </c>
      <c r="F352" s="3"/>
      <c r="J352">
        <v>350</v>
      </c>
      <c r="K352" s="24" t="s">
        <v>393</v>
      </c>
      <c r="L352" s="23">
        <f t="shared" si="223"/>
        <v>98406.289682539908</v>
      </c>
      <c r="M352" s="23">
        <f t="shared" si="224"/>
        <v>94761.904761904763</v>
      </c>
      <c r="N352" s="23">
        <f t="shared" si="227"/>
        <v>3644.3849206351483</v>
      </c>
      <c r="O352" s="23">
        <f t="shared" si="225"/>
        <v>6633333.333333753</v>
      </c>
    </row>
    <row r="353" spans="1:15" ht="18.600000000000001" thickBot="1" x14ac:dyDescent="0.5">
      <c r="A353" s="97" t="s">
        <v>17</v>
      </c>
      <c r="B353" s="98"/>
      <c r="C353" s="98"/>
      <c r="D353" s="99"/>
      <c r="E353" s="20">
        <f t="shared" ref="E353" si="247">E352</f>
        <v>2622.3777777777768</v>
      </c>
      <c r="F353" s="3"/>
      <c r="J353">
        <v>351</v>
      </c>
      <c r="K353" s="24" t="s">
        <v>394</v>
      </c>
      <c r="L353" s="23">
        <f t="shared" si="223"/>
        <v>98354.960317460544</v>
      </c>
      <c r="M353" s="23">
        <f t="shared" si="224"/>
        <v>94761.904761904763</v>
      </c>
      <c r="N353" s="23">
        <f t="shared" si="227"/>
        <v>3593.0555555557835</v>
      </c>
      <c r="O353" s="23">
        <f t="shared" si="225"/>
        <v>6538571.4285718482</v>
      </c>
    </row>
    <row r="354" spans="1:15" ht="18.600000000000001" thickBot="1" x14ac:dyDescent="0.5">
      <c r="A354" s="96" t="s">
        <v>18</v>
      </c>
      <c r="B354" s="96"/>
      <c r="C354" s="96"/>
      <c r="D354" s="96"/>
      <c r="E354" s="14">
        <f t="shared" ref="E354" si="248">12*H338</f>
        <v>204</v>
      </c>
      <c r="F354" s="3"/>
      <c r="J354">
        <v>352</v>
      </c>
      <c r="K354" s="24" t="s">
        <v>395</v>
      </c>
      <c r="L354" s="23">
        <f t="shared" si="223"/>
        <v>98303.63095238118</v>
      </c>
      <c r="M354" s="23">
        <f t="shared" si="224"/>
        <v>94761.904761904763</v>
      </c>
      <c r="N354" s="23">
        <f t="shared" si="227"/>
        <v>3541.7261904764182</v>
      </c>
      <c r="O354" s="23">
        <f t="shared" si="225"/>
        <v>6443809.5238099433</v>
      </c>
    </row>
    <row r="355" spans="1:15" ht="18.600000000000001" thickBot="1" x14ac:dyDescent="0.5">
      <c r="A355" s="3"/>
      <c r="B355" s="3"/>
      <c r="C355" s="3"/>
      <c r="D355" s="3"/>
      <c r="E355" s="3"/>
      <c r="F355" s="3"/>
      <c r="J355">
        <v>353</v>
      </c>
      <c r="K355" s="24" t="s">
        <v>396</v>
      </c>
      <c r="L355" s="23">
        <f t="shared" si="223"/>
        <v>98252.301587301816</v>
      </c>
      <c r="M355" s="23">
        <f t="shared" si="224"/>
        <v>94761.904761904763</v>
      </c>
      <c r="N355" s="23">
        <f t="shared" si="227"/>
        <v>3490.3968253970529</v>
      </c>
      <c r="O355" s="23">
        <f t="shared" si="225"/>
        <v>6349047.6190480385</v>
      </c>
    </row>
    <row r="356" spans="1:15" ht="18.600000000000001" thickBot="1" x14ac:dyDescent="0.5">
      <c r="A356" s="12" t="s">
        <v>19</v>
      </c>
      <c r="B356" s="12"/>
      <c r="C356" s="12"/>
      <c r="D356" s="12"/>
      <c r="E356" s="15">
        <f t="shared" ref="E356" si="249">-((E353-E351)/E354)</f>
        <v>9.9328653322441944</v>
      </c>
      <c r="F356" s="3" t="s">
        <v>20</v>
      </c>
      <c r="J356">
        <v>354</v>
      </c>
      <c r="K356" s="24" t="s">
        <v>397</v>
      </c>
      <c r="L356" s="23">
        <f t="shared" si="223"/>
        <v>98200.972222222452</v>
      </c>
      <c r="M356" s="23">
        <f t="shared" si="224"/>
        <v>94761.904761904763</v>
      </c>
      <c r="N356" s="23">
        <f t="shared" si="227"/>
        <v>3439.0674603176881</v>
      </c>
      <c r="O356" s="23">
        <f t="shared" si="225"/>
        <v>6254285.7142861336</v>
      </c>
    </row>
    <row r="357" spans="1:15" x14ac:dyDescent="0.45">
      <c r="A357" s="3"/>
      <c r="B357" s="3"/>
      <c r="C357" s="3"/>
      <c r="D357" s="3"/>
      <c r="E357" s="3"/>
      <c r="F357" s="3"/>
      <c r="J357">
        <v>355</v>
      </c>
      <c r="K357" s="24" t="s">
        <v>398</v>
      </c>
      <c r="L357" s="23">
        <f t="shared" si="223"/>
        <v>98149.642857143088</v>
      </c>
      <c r="M357" s="23">
        <f t="shared" si="224"/>
        <v>94761.904761904763</v>
      </c>
      <c r="N357" s="23">
        <f t="shared" si="227"/>
        <v>3387.7380952383228</v>
      </c>
      <c r="O357" s="23">
        <f t="shared" si="225"/>
        <v>6159523.8095242288</v>
      </c>
    </row>
    <row r="358" spans="1:15" ht="18.600000000000001" thickBot="1" x14ac:dyDescent="0.5">
      <c r="A358" s="3"/>
      <c r="B358" s="3"/>
      <c r="D358" s="3"/>
      <c r="E358" s="3"/>
      <c r="F358" s="3"/>
      <c r="J358">
        <v>356</v>
      </c>
      <c r="K358" s="24" t="s">
        <v>399</v>
      </c>
      <c r="L358" s="23">
        <f t="shared" si="223"/>
        <v>98098.313492063724</v>
      </c>
      <c r="M358" s="23">
        <f t="shared" si="224"/>
        <v>94761.904761904763</v>
      </c>
      <c r="N358" s="23">
        <f t="shared" si="227"/>
        <v>3336.4087301589575</v>
      </c>
      <c r="O358" s="23">
        <f t="shared" si="225"/>
        <v>6064761.9047623239</v>
      </c>
    </row>
    <row r="359" spans="1:15" ht="18.600000000000001" thickBot="1" x14ac:dyDescent="0.5">
      <c r="A359" s="10" t="s">
        <v>4</v>
      </c>
      <c r="B359" s="3"/>
      <c r="C359" s="3"/>
      <c r="D359" s="3"/>
      <c r="E359" s="4" t="s">
        <v>1</v>
      </c>
      <c r="F359" s="4"/>
      <c r="G359" s="38" t="s">
        <v>508</v>
      </c>
      <c r="H359" s="42">
        <f t="shared" ref="H359" si="250">H338+1</f>
        <v>18</v>
      </c>
      <c r="I359" t="s">
        <v>509</v>
      </c>
      <c r="J359">
        <v>357</v>
      </c>
      <c r="K359" s="24" t="s">
        <v>400</v>
      </c>
      <c r="L359" s="23">
        <f t="shared" si="223"/>
        <v>98046.98412698436</v>
      </c>
      <c r="M359" s="23">
        <f t="shared" si="224"/>
        <v>94761.904761904763</v>
      </c>
      <c r="N359" s="23">
        <f t="shared" si="227"/>
        <v>3285.0793650795927</v>
      </c>
      <c r="O359" s="23">
        <f t="shared" si="225"/>
        <v>5970000.0000004191</v>
      </c>
    </row>
    <row r="360" spans="1:15" ht="18.600000000000001" thickBot="1" x14ac:dyDescent="0.5">
      <c r="A360" s="133" t="s">
        <v>5</v>
      </c>
      <c r="B360" s="133"/>
      <c r="C360" s="133"/>
      <c r="D360" s="133"/>
      <c r="E360" s="11" t="s">
        <v>0</v>
      </c>
      <c r="F360" s="3"/>
      <c r="G360" s="36" t="s">
        <v>464</v>
      </c>
      <c r="H360" s="37">
        <f t="shared" ref="H360:H365" si="251">H339</f>
        <v>3980</v>
      </c>
      <c r="I360" t="s">
        <v>465</v>
      </c>
      <c r="J360">
        <v>358</v>
      </c>
      <c r="K360" s="24" t="s">
        <v>401</v>
      </c>
      <c r="L360" s="23">
        <f t="shared" si="223"/>
        <v>97995.654761904996</v>
      </c>
      <c r="M360" s="23">
        <f t="shared" si="224"/>
        <v>94761.904761904763</v>
      </c>
      <c r="N360" s="23">
        <f t="shared" si="227"/>
        <v>3233.7500000002274</v>
      </c>
      <c r="O360" s="23">
        <f t="shared" si="225"/>
        <v>5875238.0952385142</v>
      </c>
    </row>
    <row r="361" spans="1:15" ht="18.600000000000001" thickBot="1" x14ac:dyDescent="0.5">
      <c r="A361" s="85"/>
      <c r="B361" s="87"/>
      <c r="C361" s="127" t="s">
        <v>3</v>
      </c>
      <c r="D361" s="128"/>
      <c r="E361" s="29">
        <f t="shared" ref="E361" si="252">IF(H363="",0,H363)</f>
        <v>0</v>
      </c>
      <c r="F361" s="3"/>
      <c r="G361" s="25" t="s">
        <v>466</v>
      </c>
      <c r="H361" s="43">
        <f t="shared" si="251"/>
        <v>0.65</v>
      </c>
      <c r="I361" t="s">
        <v>469</v>
      </c>
      <c r="J361">
        <v>359</v>
      </c>
      <c r="K361" s="24" t="s">
        <v>402</v>
      </c>
      <c r="L361" s="23">
        <f t="shared" si="223"/>
        <v>97944.325396825632</v>
      </c>
      <c r="M361" s="23">
        <f t="shared" si="224"/>
        <v>94761.904761904763</v>
      </c>
      <c r="N361" s="23">
        <f t="shared" si="227"/>
        <v>3182.4206349208621</v>
      </c>
      <c r="O361" s="23">
        <f t="shared" si="225"/>
        <v>5780476.1904766094</v>
      </c>
    </row>
    <row r="362" spans="1:15" ht="18.600000000000001" thickBot="1" x14ac:dyDescent="0.5">
      <c r="A362" s="86"/>
      <c r="B362" s="88"/>
      <c r="C362" s="127" t="s">
        <v>6</v>
      </c>
      <c r="D362" s="128"/>
      <c r="E362" s="19">
        <f>IF(H366="",$H$7*0.06,H366)</f>
        <v>238.79999999999998</v>
      </c>
      <c r="F362" s="3"/>
      <c r="G362" s="25" t="s">
        <v>467</v>
      </c>
      <c r="H362" s="37">
        <f t="shared" si="251"/>
        <v>35</v>
      </c>
      <c r="I362" t="s">
        <v>468</v>
      </c>
      <c r="J362">
        <v>360</v>
      </c>
      <c r="K362" s="24" t="s">
        <v>403</v>
      </c>
      <c r="L362" s="23">
        <f t="shared" si="223"/>
        <v>97892.996031746254</v>
      </c>
      <c r="M362" s="23">
        <f t="shared" si="224"/>
        <v>94761.904761904763</v>
      </c>
      <c r="N362" s="23">
        <f t="shared" si="227"/>
        <v>3131.0912698414973</v>
      </c>
      <c r="O362" s="23">
        <f t="shared" si="225"/>
        <v>5685714.2857147045</v>
      </c>
    </row>
    <row r="363" spans="1:15" ht="18.600000000000001" thickBot="1" x14ac:dyDescent="0.5">
      <c r="A363" s="86"/>
      <c r="B363" s="91" t="s">
        <v>7</v>
      </c>
      <c r="C363" s="92"/>
      <c r="D363" s="92"/>
      <c r="E363" s="19">
        <f t="shared" ref="E363" si="253">SUM(E361:E362)</f>
        <v>238.79999999999998</v>
      </c>
      <c r="F363" s="3"/>
      <c r="G363" s="28" t="s">
        <v>3</v>
      </c>
      <c r="H363" s="37">
        <f t="shared" si="251"/>
        <v>0</v>
      </c>
      <c r="I363" t="s">
        <v>465</v>
      </c>
      <c r="J363">
        <v>361</v>
      </c>
      <c r="K363" s="24" t="s">
        <v>404</v>
      </c>
      <c r="L363" s="23">
        <f t="shared" si="223"/>
        <v>97841.66666666689</v>
      </c>
      <c r="M363" s="23">
        <f t="shared" si="224"/>
        <v>94761.904761904763</v>
      </c>
      <c r="N363" s="23">
        <f t="shared" si="227"/>
        <v>3079.761904762132</v>
      </c>
      <c r="O363" s="23">
        <f t="shared" si="225"/>
        <v>5590952.3809527997</v>
      </c>
    </row>
    <row r="364" spans="1:15" ht="18.600000000000001" thickBot="1" x14ac:dyDescent="0.5">
      <c r="A364" s="86"/>
      <c r="B364" s="7"/>
      <c r="C364" s="5" t="s">
        <v>8</v>
      </c>
      <c r="D364" s="5"/>
      <c r="E364" s="49">
        <f t="shared" ref="E364" si="254">_xlfn.SWITCH(H359,1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2393.3303571428592</v>
      </c>
      <c r="F364" s="3"/>
      <c r="G364" s="28" t="s">
        <v>16</v>
      </c>
      <c r="H364" s="37">
        <f>真実の家賃!$I$8*AD20</f>
        <v>2564.8888888888878</v>
      </c>
      <c r="I364" t="s">
        <v>465</v>
      </c>
      <c r="J364">
        <v>362</v>
      </c>
      <c r="K364" s="24" t="s">
        <v>405</v>
      </c>
      <c r="L364" s="23">
        <f t="shared" si="223"/>
        <v>97790.337301587526</v>
      </c>
      <c r="M364" s="23">
        <f t="shared" si="224"/>
        <v>94761.904761904763</v>
      </c>
      <c r="N364" s="23">
        <f t="shared" si="227"/>
        <v>3028.4325396827667</v>
      </c>
      <c r="O364" s="23">
        <f t="shared" si="225"/>
        <v>5496190.4761908948</v>
      </c>
    </row>
    <row r="365" spans="1:15" ht="18.600000000000001" thickBot="1" x14ac:dyDescent="0.5">
      <c r="A365" s="86"/>
      <c r="B365" s="8"/>
      <c r="C365" s="127" t="s">
        <v>2</v>
      </c>
      <c r="D365" s="128"/>
      <c r="E365" s="19">
        <f t="shared" ref="E365" si="255">IF(H367="",H359*15,H367)</f>
        <v>270</v>
      </c>
      <c r="F365" s="3"/>
      <c r="G365" s="56" t="s">
        <v>573</v>
      </c>
      <c r="H365" s="40" t="str">
        <f t="shared" si="251"/>
        <v/>
      </c>
      <c r="I365" t="s">
        <v>465</v>
      </c>
      <c r="J365">
        <v>363</v>
      </c>
      <c r="K365" s="24" t="s">
        <v>406</v>
      </c>
      <c r="L365" s="23">
        <f t="shared" si="223"/>
        <v>97739.007936508162</v>
      </c>
      <c r="M365" s="23">
        <f t="shared" si="224"/>
        <v>94761.904761904763</v>
      </c>
      <c r="N365" s="23">
        <f t="shared" si="227"/>
        <v>2977.1031746034018</v>
      </c>
      <c r="O365" s="23">
        <f t="shared" si="225"/>
        <v>5401428.57142899</v>
      </c>
    </row>
    <row r="366" spans="1:15" ht="18.600000000000001" thickBot="1" x14ac:dyDescent="0.5">
      <c r="A366" s="86"/>
      <c r="B366" s="8"/>
      <c r="C366" s="129" t="s">
        <v>9</v>
      </c>
      <c r="D366" s="129"/>
      <c r="E366" s="19">
        <f t="shared" ref="E366" si="256">_xlfn.SWITCH(H359,1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366" s="3"/>
      <c r="G366" s="34" t="s">
        <v>6</v>
      </c>
      <c r="H366" s="40" t="str">
        <f t="shared" si="215"/>
        <v/>
      </c>
      <c r="I366" t="s">
        <v>465</v>
      </c>
      <c r="J366">
        <v>364</v>
      </c>
      <c r="K366" s="24" t="s">
        <v>407</v>
      </c>
      <c r="L366" s="23">
        <f t="shared" si="223"/>
        <v>97687.678571428798</v>
      </c>
      <c r="M366" s="23">
        <f t="shared" si="224"/>
        <v>94761.904761904763</v>
      </c>
      <c r="N366" s="23">
        <f t="shared" si="227"/>
        <v>2925.7738095240366</v>
      </c>
      <c r="O366" s="23">
        <f t="shared" si="225"/>
        <v>5306666.6666670851</v>
      </c>
    </row>
    <row r="367" spans="1:15" ht="18.600000000000001" thickBot="1" x14ac:dyDescent="0.5">
      <c r="A367" s="86"/>
      <c r="B367" s="8"/>
      <c r="C367" s="130" t="s">
        <v>10</v>
      </c>
      <c r="D367" s="131"/>
      <c r="E367" s="49">
        <f t="shared" ref="E367" si="257">IF(H365="",$Z$3,H359*H365)</f>
        <v>0</v>
      </c>
      <c r="F367" s="3"/>
      <c r="G367" s="28" t="s">
        <v>560</v>
      </c>
      <c r="H367" s="40" t="str">
        <f t="shared" si="215"/>
        <v/>
      </c>
      <c r="I367" t="s">
        <v>465</v>
      </c>
      <c r="J367">
        <v>365</v>
      </c>
      <c r="K367" s="24" t="s">
        <v>408</v>
      </c>
      <c r="L367" s="23">
        <f t="shared" si="223"/>
        <v>97636.349206349434</v>
      </c>
      <c r="M367" s="23">
        <f t="shared" si="224"/>
        <v>94761.904761904763</v>
      </c>
      <c r="N367" s="23">
        <f t="shared" si="227"/>
        <v>2874.4444444446713</v>
      </c>
      <c r="O367" s="23">
        <f t="shared" si="225"/>
        <v>5211904.7619051803</v>
      </c>
    </row>
    <row r="368" spans="1:15" ht="18.600000000000001" thickBot="1" x14ac:dyDescent="0.5">
      <c r="A368" s="86"/>
      <c r="B368" s="132" t="s">
        <v>11</v>
      </c>
      <c r="C368" s="126"/>
      <c r="D368" s="126"/>
      <c r="E368" s="19">
        <f t="shared" ref="E368" si="258">SUM(E364:E367)</f>
        <v>2373.5863571428581</v>
      </c>
      <c r="F368" s="3"/>
      <c r="G368" s="33" t="s">
        <v>561</v>
      </c>
      <c r="H368" s="41" t="str">
        <f t="shared" si="215"/>
        <v/>
      </c>
      <c r="I368" t="s">
        <v>465</v>
      </c>
      <c r="J368">
        <v>366</v>
      </c>
      <c r="K368" s="24" t="s">
        <v>409</v>
      </c>
      <c r="L368" s="23">
        <f t="shared" si="223"/>
        <v>97585.01984127007</v>
      </c>
      <c r="M368" s="23">
        <f t="shared" si="224"/>
        <v>94761.904761904763</v>
      </c>
      <c r="N368" s="23">
        <f t="shared" si="227"/>
        <v>2823.1150793653064</v>
      </c>
      <c r="O368" s="23">
        <f t="shared" si="225"/>
        <v>5117142.8571432754</v>
      </c>
    </row>
    <row r="369" spans="1:15" ht="18.600000000000001" thickBot="1" x14ac:dyDescent="0.5">
      <c r="A369" s="86"/>
      <c r="B369" s="7"/>
      <c r="C369" s="127" t="s">
        <v>12</v>
      </c>
      <c r="D369" s="128"/>
      <c r="E369" s="19">
        <f t="shared" ref="E369" si="259">_xlfn.SWITCH(H359,1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1933.1428571428955</v>
      </c>
      <c r="F369" s="3"/>
      <c r="G369" s="30"/>
      <c r="J369">
        <v>367</v>
      </c>
      <c r="K369" s="24" t="s">
        <v>410</v>
      </c>
      <c r="L369" s="23">
        <f t="shared" si="223"/>
        <v>97533.690476190706</v>
      </c>
      <c r="M369" s="23">
        <f t="shared" si="224"/>
        <v>94761.904761904763</v>
      </c>
      <c r="N369" s="23">
        <f t="shared" si="227"/>
        <v>2771.7857142859411</v>
      </c>
      <c r="O369" s="23">
        <f t="shared" si="225"/>
        <v>5022380.9523813706</v>
      </c>
    </row>
    <row r="370" spans="1:15" ht="18.600000000000001" thickBot="1" x14ac:dyDescent="0.5">
      <c r="A370" s="86"/>
      <c r="B370" s="8"/>
      <c r="C370" s="127" t="s">
        <v>13</v>
      </c>
      <c r="D370" s="128"/>
      <c r="E370" s="19">
        <f>IF(H368="",H364*0.05,H368)</f>
        <v>128.24444444444438</v>
      </c>
      <c r="F370" s="3"/>
      <c r="G370" s="30"/>
      <c r="J370">
        <v>368</v>
      </c>
      <c r="K370" s="24" t="s">
        <v>411</v>
      </c>
      <c r="L370" s="23">
        <f t="shared" si="223"/>
        <v>97482.361111111342</v>
      </c>
      <c r="M370" s="23">
        <f t="shared" si="224"/>
        <v>94761.904761904763</v>
      </c>
      <c r="N370" s="23">
        <f t="shared" si="227"/>
        <v>2720.4563492065759</v>
      </c>
      <c r="O370" s="23">
        <f t="shared" si="225"/>
        <v>4927619.0476194657</v>
      </c>
    </row>
    <row r="371" spans="1:15" ht="18.600000000000001" thickBot="1" x14ac:dyDescent="0.5">
      <c r="A371" s="86"/>
      <c r="B371" s="132" t="s">
        <v>14</v>
      </c>
      <c r="C371" s="126"/>
      <c r="D371" s="126"/>
      <c r="E371" s="19">
        <f t="shared" ref="E371" si="260">SUM(E369:E370)</f>
        <v>2061.3873015873401</v>
      </c>
      <c r="F371" s="3"/>
      <c r="G371" s="30"/>
      <c r="J371">
        <v>369</v>
      </c>
      <c r="K371" s="24" t="s">
        <v>412</v>
      </c>
      <c r="L371" s="23">
        <f t="shared" si="223"/>
        <v>97431.031746031978</v>
      </c>
      <c r="M371" s="23">
        <f t="shared" si="224"/>
        <v>94761.904761904763</v>
      </c>
      <c r="N371" s="23">
        <f t="shared" si="227"/>
        <v>2669.126984127211</v>
      </c>
      <c r="O371" s="23">
        <f t="shared" si="225"/>
        <v>4832857.1428575609</v>
      </c>
    </row>
    <row r="372" spans="1:15" ht="18.600000000000001" thickBot="1" x14ac:dyDescent="0.5">
      <c r="A372" s="97" t="s">
        <v>15</v>
      </c>
      <c r="B372" s="98"/>
      <c r="C372" s="98"/>
      <c r="D372" s="99"/>
      <c r="E372" s="20">
        <f t="shared" ref="E372" si="261">E363+E368+E371</f>
        <v>4673.7736587301988</v>
      </c>
      <c r="F372" s="3"/>
      <c r="J372">
        <v>370</v>
      </c>
      <c r="K372" s="24" t="s">
        <v>413</v>
      </c>
      <c r="L372" s="23">
        <f t="shared" si="223"/>
        <v>97379.702380952614</v>
      </c>
      <c r="M372" s="23">
        <f t="shared" si="224"/>
        <v>94761.904761904763</v>
      </c>
      <c r="N372" s="23">
        <f t="shared" si="227"/>
        <v>2617.7976190478457</v>
      </c>
      <c r="O372" s="23">
        <f t="shared" si="225"/>
        <v>4738095.238095656</v>
      </c>
    </row>
    <row r="373" spans="1:15" ht="18.600000000000001" thickBot="1" x14ac:dyDescent="0.5">
      <c r="A373" s="6"/>
      <c r="B373" s="126" t="s">
        <v>16</v>
      </c>
      <c r="C373" s="126"/>
      <c r="D373" s="126"/>
      <c r="E373" s="19">
        <f t="shared" ref="E373" si="262">H364</f>
        <v>2564.8888888888878</v>
      </c>
      <c r="F373" s="3"/>
      <c r="J373">
        <v>371</v>
      </c>
      <c r="K373" s="24" t="s">
        <v>414</v>
      </c>
      <c r="L373" s="23">
        <f t="shared" si="223"/>
        <v>97328.373015873251</v>
      </c>
      <c r="M373" s="23">
        <f t="shared" si="224"/>
        <v>94761.904761904763</v>
      </c>
      <c r="N373" s="23">
        <f t="shared" si="227"/>
        <v>2566.4682539684804</v>
      </c>
      <c r="O373" s="23">
        <f t="shared" si="225"/>
        <v>4643333.3333337512</v>
      </c>
    </row>
    <row r="374" spans="1:15" ht="18.600000000000001" thickBot="1" x14ac:dyDescent="0.5">
      <c r="A374" s="97" t="s">
        <v>17</v>
      </c>
      <c r="B374" s="98"/>
      <c r="C374" s="98"/>
      <c r="D374" s="99"/>
      <c r="E374" s="20">
        <f t="shared" ref="E374" si="263">E373</f>
        <v>2564.8888888888878</v>
      </c>
      <c r="F374" s="3"/>
      <c r="J374">
        <v>372</v>
      </c>
      <c r="K374" s="24" t="s">
        <v>415</v>
      </c>
      <c r="L374" s="23">
        <f t="shared" si="223"/>
        <v>97277.043650793872</v>
      </c>
      <c r="M374" s="23">
        <f t="shared" si="224"/>
        <v>94761.904761904763</v>
      </c>
      <c r="N374" s="23">
        <f t="shared" si="227"/>
        <v>2515.1388888891156</v>
      </c>
      <c r="O374" s="23">
        <f t="shared" si="225"/>
        <v>4548571.4285718463</v>
      </c>
    </row>
    <row r="375" spans="1:15" ht="18.600000000000001" thickBot="1" x14ac:dyDescent="0.5">
      <c r="A375" s="96" t="s">
        <v>18</v>
      </c>
      <c r="B375" s="96"/>
      <c r="C375" s="96"/>
      <c r="D375" s="96"/>
      <c r="E375" s="14">
        <f t="shared" ref="E375" si="264">12*H359</f>
        <v>216</v>
      </c>
      <c r="F375" s="3"/>
      <c r="J375">
        <v>373</v>
      </c>
      <c r="K375" s="24" t="s">
        <v>416</v>
      </c>
      <c r="L375" s="23">
        <f t="shared" si="223"/>
        <v>97225.714285714508</v>
      </c>
      <c r="M375" s="23">
        <f t="shared" si="224"/>
        <v>94761.904761904763</v>
      </c>
      <c r="N375" s="23">
        <f t="shared" si="227"/>
        <v>2463.8095238097503</v>
      </c>
      <c r="O375" s="23">
        <f t="shared" si="225"/>
        <v>4453809.5238099415</v>
      </c>
    </row>
    <row r="376" spans="1:15" ht="18.600000000000001" thickBot="1" x14ac:dyDescent="0.5">
      <c r="A376" s="3"/>
      <c r="B376" s="3"/>
      <c r="C376" s="3"/>
      <c r="D376" s="3"/>
      <c r="E376" s="3"/>
      <c r="F376" s="3"/>
      <c r="J376">
        <v>374</v>
      </c>
      <c r="K376" s="24" t="s">
        <v>417</v>
      </c>
      <c r="L376" s="23">
        <f t="shared" si="223"/>
        <v>97174.384920635144</v>
      </c>
      <c r="M376" s="23">
        <f t="shared" si="224"/>
        <v>94761.904761904763</v>
      </c>
      <c r="N376" s="23">
        <f t="shared" si="227"/>
        <v>2412.480158730385</v>
      </c>
      <c r="O376" s="23">
        <f t="shared" si="225"/>
        <v>4359047.6190480366</v>
      </c>
    </row>
    <row r="377" spans="1:15" ht="18.600000000000001" thickBot="1" x14ac:dyDescent="0.5">
      <c r="A377" s="12" t="s">
        <v>19</v>
      </c>
      <c r="B377" s="12"/>
      <c r="C377" s="12"/>
      <c r="D377" s="12"/>
      <c r="E377" s="15">
        <f t="shared" ref="E377" si="265">-((E374-E372)/E375)</f>
        <v>9.7633554159319953</v>
      </c>
      <c r="F377" s="3" t="s">
        <v>20</v>
      </c>
      <c r="J377">
        <v>375</v>
      </c>
      <c r="K377" s="24" t="s">
        <v>418</v>
      </c>
      <c r="L377" s="23">
        <f t="shared" si="223"/>
        <v>97123.05555555578</v>
      </c>
      <c r="M377" s="23">
        <f t="shared" si="224"/>
        <v>94761.904761904763</v>
      </c>
      <c r="N377" s="23">
        <f t="shared" si="227"/>
        <v>2361.1507936510202</v>
      </c>
      <c r="O377" s="23">
        <f t="shared" si="225"/>
        <v>4264285.7142861318</v>
      </c>
    </row>
    <row r="378" spans="1:15" x14ac:dyDescent="0.45">
      <c r="A378" s="3"/>
      <c r="B378" s="3"/>
      <c r="C378" s="3"/>
      <c r="D378" s="3"/>
      <c r="E378" s="3"/>
      <c r="F378" s="3"/>
      <c r="J378">
        <v>376</v>
      </c>
      <c r="K378" s="24" t="s">
        <v>419</v>
      </c>
      <c r="L378" s="23">
        <f t="shared" si="223"/>
        <v>97071.726190476416</v>
      </c>
      <c r="M378" s="23">
        <f t="shared" si="224"/>
        <v>94761.904761904763</v>
      </c>
      <c r="N378" s="23">
        <f t="shared" si="227"/>
        <v>2309.8214285716549</v>
      </c>
      <c r="O378" s="23">
        <f t="shared" si="225"/>
        <v>4169523.8095242269</v>
      </c>
    </row>
    <row r="379" spans="1:15" ht="18.600000000000001" thickBot="1" x14ac:dyDescent="0.5">
      <c r="A379" s="3"/>
      <c r="B379" s="3"/>
      <c r="D379" s="3"/>
      <c r="E379" s="3"/>
      <c r="F379" s="3"/>
      <c r="J379">
        <v>377</v>
      </c>
      <c r="K379" s="24" t="s">
        <v>420</v>
      </c>
      <c r="L379" s="23">
        <f t="shared" si="223"/>
        <v>97020.396825397052</v>
      </c>
      <c r="M379" s="23">
        <f t="shared" si="224"/>
        <v>94761.904761904763</v>
      </c>
      <c r="N379" s="23">
        <f t="shared" si="227"/>
        <v>2258.4920634922896</v>
      </c>
      <c r="O379" s="23">
        <f t="shared" si="225"/>
        <v>4074761.9047623221</v>
      </c>
    </row>
    <row r="380" spans="1:15" ht="18.600000000000001" thickBot="1" x14ac:dyDescent="0.5">
      <c r="A380" s="10" t="s">
        <v>4</v>
      </c>
      <c r="B380" s="3"/>
      <c r="C380" s="3"/>
      <c r="D380" s="3"/>
      <c r="E380" s="4" t="s">
        <v>1</v>
      </c>
      <c r="F380" s="4"/>
      <c r="G380" s="38" t="s">
        <v>508</v>
      </c>
      <c r="H380" s="42">
        <f t="shared" ref="H380" si="266">H359+1</f>
        <v>19</v>
      </c>
      <c r="I380" t="s">
        <v>509</v>
      </c>
      <c r="J380">
        <v>378</v>
      </c>
      <c r="K380" s="24" t="s">
        <v>421</v>
      </c>
      <c r="L380" s="23">
        <f t="shared" si="223"/>
        <v>96969.067460317689</v>
      </c>
      <c r="M380" s="23">
        <f t="shared" si="224"/>
        <v>94761.904761904763</v>
      </c>
      <c r="N380" s="23">
        <f t="shared" si="227"/>
        <v>2207.1626984129248</v>
      </c>
      <c r="O380" s="23">
        <f t="shared" si="225"/>
        <v>3980000.0000004172</v>
      </c>
    </row>
    <row r="381" spans="1:15" ht="18.600000000000001" thickBot="1" x14ac:dyDescent="0.5">
      <c r="A381" s="133" t="s">
        <v>5</v>
      </c>
      <c r="B381" s="133"/>
      <c r="C381" s="133"/>
      <c r="D381" s="133"/>
      <c r="E381" s="11" t="s">
        <v>0</v>
      </c>
      <c r="F381" s="3"/>
      <c r="G381" s="36" t="s">
        <v>464</v>
      </c>
      <c r="H381" s="37">
        <f t="shared" ref="H381:H386" si="267">H360</f>
        <v>3980</v>
      </c>
      <c r="I381" t="s">
        <v>465</v>
      </c>
      <c r="J381">
        <v>379</v>
      </c>
      <c r="K381" s="24" t="s">
        <v>422</v>
      </c>
      <c r="L381" s="23">
        <f t="shared" si="223"/>
        <v>96917.738095238325</v>
      </c>
      <c r="M381" s="23">
        <f t="shared" si="224"/>
        <v>94761.904761904763</v>
      </c>
      <c r="N381" s="23">
        <f t="shared" si="227"/>
        <v>2155.8333333335595</v>
      </c>
      <c r="O381" s="23">
        <f t="shared" si="225"/>
        <v>3885238.0952385124</v>
      </c>
    </row>
    <row r="382" spans="1:15" ht="18.600000000000001" thickBot="1" x14ac:dyDescent="0.5">
      <c r="A382" s="85"/>
      <c r="B382" s="87"/>
      <c r="C382" s="127" t="s">
        <v>3</v>
      </c>
      <c r="D382" s="128"/>
      <c r="E382" s="29">
        <f t="shared" ref="E382" si="268">IF(H384="",0,H384)</f>
        <v>0</v>
      </c>
      <c r="F382" s="3"/>
      <c r="G382" s="25" t="s">
        <v>466</v>
      </c>
      <c r="H382" s="43">
        <f t="shared" si="267"/>
        <v>0.65</v>
      </c>
      <c r="I382" t="s">
        <v>469</v>
      </c>
      <c r="J382">
        <v>380</v>
      </c>
      <c r="K382" s="24" t="s">
        <v>423</v>
      </c>
      <c r="L382" s="23">
        <f t="shared" si="223"/>
        <v>96866.408730158961</v>
      </c>
      <c r="M382" s="23">
        <f t="shared" si="224"/>
        <v>94761.904761904763</v>
      </c>
      <c r="N382" s="23">
        <f t="shared" si="227"/>
        <v>2104.5039682541942</v>
      </c>
      <c r="O382" s="23">
        <f t="shared" si="225"/>
        <v>3790476.1904766075</v>
      </c>
    </row>
    <row r="383" spans="1:15" ht="18.600000000000001" thickBot="1" x14ac:dyDescent="0.5">
      <c r="A383" s="86"/>
      <c r="B383" s="88"/>
      <c r="C383" s="127" t="s">
        <v>6</v>
      </c>
      <c r="D383" s="128"/>
      <c r="E383" s="19">
        <f>IF(H387="",$H$7*0.06,H387)</f>
        <v>238.79999999999998</v>
      </c>
      <c r="F383" s="3"/>
      <c r="G383" s="25" t="s">
        <v>467</v>
      </c>
      <c r="H383" s="37">
        <f t="shared" si="267"/>
        <v>35</v>
      </c>
      <c r="I383" t="s">
        <v>468</v>
      </c>
      <c r="J383">
        <v>381</v>
      </c>
      <c r="K383" s="24" t="s">
        <v>424</v>
      </c>
      <c r="L383" s="23">
        <f t="shared" si="223"/>
        <v>96815.079365079597</v>
      </c>
      <c r="M383" s="23">
        <f t="shared" si="224"/>
        <v>94761.904761904763</v>
      </c>
      <c r="N383" s="23">
        <f t="shared" si="227"/>
        <v>2053.1746031748294</v>
      </c>
      <c r="O383" s="23">
        <f t="shared" si="225"/>
        <v>3695714.2857147027</v>
      </c>
    </row>
    <row r="384" spans="1:15" ht="18.600000000000001" thickBot="1" x14ac:dyDescent="0.5">
      <c r="A384" s="86"/>
      <c r="B384" s="91" t="s">
        <v>7</v>
      </c>
      <c r="C384" s="92"/>
      <c r="D384" s="92"/>
      <c r="E384" s="19">
        <f t="shared" ref="E384" si="269">SUM(E382:E383)</f>
        <v>238.79999999999998</v>
      </c>
      <c r="F384" s="3"/>
      <c r="G384" s="28" t="s">
        <v>3</v>
      </c>
      <c r="H384" s="37">
        <f t="shared" si="267"/>
        <v>0</v>
      </c>
      <c r="I384" t="s">
        <v>465</v>
      </c>
      <c r="J384">
        <v>382</v>
      </c>
      <c r="K384" s="24" t="s">
        <v>425</v>
      </c>
      <c r="L384" s="23">
        <f t="shared" si="223"/>
        <v>96763.750000000233</v>
      </c>
      <c r="M384" s="23">
        <f t="shared" si="224"/>
        <v>94761.904761904763</v>
      </c>
      <c r="N384" s="23">
        <f t="shared" si="227"/>
        <v>2001.8452380954641</v>
      </c>
      <c r="O384" s="23">
        <f t="shared" si="225"/>
        <v>3600952.3809527978</v>
      </c>
    </row>
    <row r="385" spans="1:15" ht="18.600000000000001" thickBot="1" x14ac:dyDescent="0.5">
      <c r="A385" s="86"/>
      <c r="B385" s="7"/>
      <c r="C385" s="5" t="s">
        <v>8</v>
      </c>
      <c r="D385" s="5"/>
      <c r="E385" s="49">
        <f t="shared" ref="E385" si="270">_xlfn.SWITCH(H380,1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2519.2712976190501</v>
      </c>
      <c r="F385" s="3"/>
      <c r="G385" s="28" t="s">
        <v>16</v>
      </c>
      <c r="H385" s="37">
        <f>真実の家賃!$I$8*AD21</f>
        <v>2507.3999999999987</v>
      </c>
      <c r="I385" t="s">
        <v>465</v>
      </c>
      <c r="J385">
        <v>383</v>
      </c>
      <c r="K385" s="24" t="s">
        <v>426</v>
      </c>
      <c r="L385" s="23">
        <f t="shared" si="223"/>
        <v>96712.420634920869</v>
      </c>
      <c r="M385" s="23">
        <f t="shared" si="224"/>
        <v>94761.904761904763</v>
      </c>
      <c r="N385" s="23">
        <f t="shared" si="227"/>
        <v>1950.515873016099</v>
      </c>
      <c r="O385" s="23">
        <f t="shared" si="225"/>
        <v>3506190.476190893</v>
      </c>
    </row>
    <row r="386" spans="1:15" ht="18.600000000000001" thickBot="1" x14ac:dyDescent="0.5">
      <c r="A386" s="86"/>
      <c r="B386" s="8"/>
      <c r="C386" s="127" t="s">
        <v>2</v>
      </c>
      <c r="D386" s="128"/>
      <c r="E386" s="19">
        <f t="shared" ref="E386" si="271">IF(H388="",H380*15,H388)</f>
        <v>285</v>
      </c>
      <c r="F386" s="3"/>
      <c r="G386" s="56" t="s">
        <v>573</v>
      </c>
      <c r="H386" s="40" t="str">
        <f t="shared" si="267"/>
        <v/>
      </c>
      <c r="I386" t="s">
        <v>465</v>
      </c>
      <c r="J386">
        <v>384</v>
      </c>
      <c r="K386" s="24" t="s">
        <v>427</v>
      </c>
      <c r="L386" s="23">
        <f t="shared" si="223"/>
        <v>96661.09126984149</v>
      </c>
      <c r="M386" s="23">
        <f t="shared" si="224"/>
        <v>94761.904761904763</v>
      </c>
      <c r="N386" s="23">
        <f t="shared" si="227"/>
        <v>1899.1865079367337</v>
      </c>
      <c r="O386" s="23">
        <f t="shared" si="225"/>
        <v>3411428.5714289881</v>
      </c>
    </row>
    <row r="387" spans="1:15" ht="18.600000000000001" thickBot="1" x14ac:dyDescent="0.5">
      <c r="A387" s="86"/>
      <c r="B387" s="8"/>
      <c r="C387" s="129" t="s">
        <v>9</v>
      </c>
      <c r="D387" s="129"/>
      <c r="E387" s="19">
        <f t="shared" ref="E387" si="272">_xlfn.SWITCH(H380,1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387" s="3"/>
      <c r="G387" s="34" t="s">
        <v>6</v>
      </c>
      <c r="H387" s="40" t="str">
        <f t="shared" si="235"/>
        <v/>
      </c>
      <c r="I387" t="s">
        <v>465</v>
      </c>
      <c r="J387">
        <v>385</v>
      </c>
      <c r="K387" s="24" t="s">
        <v>428</v>
      </c>
      <c r="L387" s="23">
        <f t="shared" si="223"/>
        <v>96609.761904762127</v>
      </c>
      <c r="M387" s="23">
        <f t="shared" si="224"/>
        <v>94761.904761904763</v>
      </c>
      <c r="N387" s="23">
        <f t="shared" si="227"/>
        <v>1847.8571428573687</v>
      </c>
      <c r="O387" s="23">
        <f t="shared" si="225"/>
        <v>3316666.6666670833</v>
      </c>
    </row>
    <row r="388" spans="1:15" ht="18.600000000000001" thickBot="1" x14ac:dyDescent="0.5">
      <c r="A388" s="86"/>
      <c r="B388" s="8"/>
      <c r="C388" s="130" t="s">
        <v>10</v>
      </c>
      <c r="D388" s="131"/>
      <c r="E388" s="49">
        <f t="shared" ref="E388" si="273">IF(H386="",$Z$3,H380*H386)</f>
        <v>0</v>
      </c>
      <c r="F388" s="3"/>
      <c r="G388" s="28" t="s">
        <v>560</v>
      </c>
      <c r="H388" s="40" t="str">
        <f t="shared" si="235"/>
        <v/>
      </c>
      <c r="I388" t="s">
        <v>465</v>
      </c>
      <c r="J388">
        <v>386</v>
      </c>
      <c r="K388" s="24" t="s">
        <v>429</v>
      </c>
      <c r="L388" s="23">
        <f t="shared" si="223"/>
        <v>96558.432539682763</v>
      </c>
      <c r="M388" s="23">
        <f t="shared" si="224"/>
        <v>94761.904761904763</v>
      </c>
      <c r="N388" s="23">
        <f t="shared" si="227"/>
        <v>1796.5277777780036</v>
      </c>
      <c r="O388" s="23">
        <f t="shared" si="225"/>
        <v>3221904.7619051784</v>
      </c>
    </row>
    <row r="389" spans="1:15" ht="18.600000000000001" thickBot="1" x14ac:dyDescent="0.5">
      <c r="A389" s="86"/>
      <c r="B389" s="132" t="s">
        <v>11</v>
      </c>
      <c r="C389" s="126"/>
      <c r="D389" s="126"/>
      <c r="E389" s="19">
        <f t="shared" ref="E389" si="274">SUM(E385:E388)</f>
        <v>2514.527297619049</v>
      </c>
      <c r="F389" s="3"/>
      <c r="G389" s="33" t="s">
        <v>561</v>
      </c>
      <c r="H389" s="41" t="str">
        <f t="shared" si="235"/>
        <v/>
      </c>
      <c r="I389" t="s">
        <v>465</v>
      </c>
      <c r="J389">
        <v>387</v>
      </c>
      <c r="K389" s="24" t="s">
        <v>430</v>
      </c>
      <c r="L389" s="23">
        <f t="shared" si="223"/>
        <v>96507.103174603399</v>
      </c>
      <c r="M389" s="23">
        <f t="shared" si="224"/>
        <v>94761.904761904763</v>
      </c>
      <c r="N389" s="23">
        <f t="shared" si="227"/>
        <v>1745.1984126986383</v>
      </c>
      <c r="O389" s="23">
        <f t="shared" si="225"/>
        <v>3127142.8571432736</v>
      </c>
    </row>
    <row r="390" spans="1:15" ht="18.600000000000001" thickBot="1" x14ac:dyDescent="0.5">
      <c r="A390" s="86"/>
      <c r="B390" s="7"/>
      <c r="C390" s="127" t="s">
        <v>12</v>
      </c>
      <c r="D390" s="128"/>
      <c r="E390" s="19">
        <f t="shared" ref="E390" si="275">_xlfn.SWITCH(H380,1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1819.4285714286118</v>
      </c>
      <c r="F390" s="3"/>
      <c r="G390" s="30"/>
      <c r="J390">
        <v>388</v>
      </c>
      <c r="K390" s="24" t="s">
        <v>431</v>
      </c>
      <c r="L390" s="23">
        <f t="shared" ref="L390:L422" si="276">IF(O389&lt;=0,0,(M390+N390))</f>
        <v>96455.773809524035</v>
      </c>
      <c r="M390" s="23">
        <f t="shared" ref="M390:M422" si="277">IF(O389&lt;=0,0,(($H$3*10000)/($H$5*12)))</f>
        <v>94761.904761904763</v>
      </c>
      <c r="N390" s="23">
        <f t="shared" si="227"/>
        <v>1693.8690476192733</v>
      </c>
      <c r="O390" s="23">
        <f t="shared" ref="O390:O422" si="278">IF(O389&lt;=0,0,(O389-M390))</f>
        <v>3032380.9523813687</v>
      </c>
    </row>
    <row r="391" spans="1:15" ht="18.600000000000001" thickBot="1" x14ac:dyDescent="0.5">
      <c r="A391" s="86"/>
      <c r="B391" s="8"/>
      <c r="C391" s="127" t="s">
        <v>13</v>
      </c>
      <c r="D391" s="128"/>
      <c r="E391" s="19">
        <f>IF(H389="",H385*0.05,H389)</f>
        <v>125.36999999999995</v>
      </c>
      <c r="F391" s="3"/>
      <c r="G391" s="30"/>
      <c r="J391">
        <v>389</v>
      </c>
      <c r="K391" s="24" t="s">
        <v>432</v>
      </c>
      <c r="L391" s="23">
        <f t="shared" si="276"/>
        <v>96404.444444444671</v>
      </c>
      <c r="M391" s="23">
        <f t="shared" si="277"/>
        <v>94761.904761904763</v>
      </c>
      <c r="N391" s="23">
        <f t="shared" ref="N391:N422" si="279">IF(O390&lt;=0,0,(O390*($H$4/100)/12))</f>
        <v>1642.5396825399082</v>
      </c>
      <c r="O391" s="23">
        <f t="shared" si="278"/>
        <v>2937619.0476194639</v>
      </c>
    </row>
    <row r="392" spans="1:15" ht="18.600000000000001" thickBot="1" x14ac:dyDescent="0.5">
      <c r="A392" s="86"/>
      <c r="B392" s="132" t="s">
        <v>14</v>
      </c>
      <c r="C392" s="126"/>
      <c r="D392" s="126"/>
      <c r="E392" s="19">
        <f t="shared" ref="E392" si="280">SUM(E390:E391)</f>
        <v>1944.7985714286117</v>
      </c>
      <c r="F392" s="3"/>
      <c r="G392" s="30"/>
      <c r="J392">
        <v>390</v>
      </c>
      <c r="K392" s="24" t="s">
        <v>433</v>
      </c>
      <c r="L392" s="23">
        <f t="shared" si="276"/>
        <v>96353.115079365307</v>
      </c>
      <c r="M392" s="23">
        <f t="shared" si="277"/>
        <v>94761.904761904763</v>
      </c>
      <c r="N392" s="23">
        <f t="shared" si="279"/>
        <v>1591.2103174605429</v>
      </c>
      <c r="O392" s="23">
        <f t="shared" si="278"/>
        <v>2842857.142857559</v>
      </c>
    </row>
    <row r="393" spans="1:15" ht="18.600000000000001" thickBot="1" x14ac:dyDescent="0.5">
      <c r="A393" s="97" t="s">
        <v>15</v>
      </c>
      <c r="B393" s="98"/>
      <c r="C393" s="98"/>
      <c r="D393" s="99"/>
      <c r="E393" s="20">
        <f t="shared" ref="E393" si="281">E384+E389+E392</f>
        <v>4698.1258690476607</v>
      </c>
      <c r="F393" s="3"/>
      <c r="J393">
        <v>391</v>
      </c>
      <c r="K393" s="24" t="s">
        <v>434</v>
      </c>
      <c r="L393" s="23">
        <f t="shared" si="276"/>
        <v>96301.785714285943</v>
      </c>
      <c r="M393" s="23">
        <f t="shared" si="277"/>
        <v>94761.904761904763</v>
      </c>
      <c r="N393" s="23">
        <f t="shared" si="279"/>
        <v>1539.8809523811778</v>
      </c>
      <c r="O393" s="23">
        <f t="shared" si="278"/>
        <v>2748095.2380956542</v>
      </c>
    </row>
    <row r="394" spans="1:15" ht="18.600000000000001" thickBot="1" x14ac:dyDescent="0.5">
      <c r="A394" s="6"/>
      <c r="B394" s="126" t="s">
        <v>16</v>
      </c>
      <c r="C394" s="126"/>
      <c r="D394" s="126"/>
      <c r="E394" s="19">
        <f t="shared" ref="E394" si="282">H385</f>
        <v>2507.3999999999987</v>
      </c>
      <c r="F394" s="3"/>
      <c r="J394">
        <v>392</v>
      </c>
      <c r="K394" s="24" t="s">
        <v>435</v>
      </c>
      <c r="L394" s="23">
        <f t="shared" si="276"/>
        <v>96250.456349206579</v>
      </c>
      <c r="M394" s="23">
        <f t="shared" si="277"/>
        <v>94761.904761904763</v>
      </c>
      <c r="N394" s="23">
        <f t="shared" si="279"/>
        <v>1488.5515873018128</v>
      </c>
      <c r="O394" s="23">
        <f t="shared" si="278"/>
        <v>2653333.3333337493</v>
      </c>
    </row>
    <row r="395" spans="1:15" ht="18.600000000000001" thickBot="1" x14ac:dyDescent="0.5">
      <c r="A395" s="97" t="s">
        <v>17</v>
      </c>
      <c r="B395" s="98"/>
      <c r="C395" s="98"/>
      <c r="D395" s="99"/>
      <c r="E395" s="20">
        <f t="shared" ref="E395" si="283">E394</f>
        <v>2507.3999999999987</v>
      </c>
      <c r="F395" s="3"/>
      <c r="J395">
        <v>393</v>
      </c>
      <c r="K395" s="24" t="s">
        <v>436</v>
      </c>
      <c r="L395" s="23">
        <f t="shared" si="276"/>
        <v>96199.126984127215</v>
      </c>
      <c r="M395" s="23">
        <f t="shared" si="277"/>
        <v>94761.904761904763</v>
      </c>
      <c r="N395" s="23">
        <f t="shared" si="279"/>
        <v>1437.2222222224475</v>
      </c>
      <c r="O395" s="23">
        <f t="shared" si="278"/>
        <v>2558571.4285718445</v>
      </c>
    </row>
    <row r="396" spans="1:15" ht="18.600000000000001" thickBot="1" x14ac:dyDescent="0.5">
      <c r="A396" s="96" t="s">
        <v>18</v>
      </c>
      <c r="B396" s="96"/>
      <c r="C396" s="96"/>
      <c r="D396" s="96"/>
      <c r="E396" s="14">
        <f t="shared" ref="E396" si="284">12*H380</f>
        <v>228</v>
      </c>
      <c r="F396" s="3"/>
      <c r="J396">
        <v>394</v>
      </c>
      <c r="K396" s="24" t="s">
        <v>437</v>
      </c>
      <c r="L396" s="23">
        <f t="shared" si="276"/>
        <v>96147.797619047851</v>
      </c>
      <c r="M396" s="23">
        <f t="shared" si="277"/>
        <v>94761.904761904763</v>
      </c>
      <c r="N396" s="23">
        <f t="shared" si="279"/>
        <v>1385.8928571430824</v>
      </c>
      <c r="O396" s="23">
        <f t="shared" si="278"/>
        <v>2463809.5238099396</v>
      </c>
    </row>
    <row r="397" spans="1:15" ht="18.600000000000001" thickBot="1" x14ac:dyDescent="0.5">
      <c r="A397" s="3"/>
      <c r="B397" s="3"/>
      <c r="C397" s="3"/>
      <c r="D397" s="3"/>
      <c r="E397" s="3"/>
      <c r="F397" s="3"/>
      <c r="J397">
        <v>395</v>
      </c>
      <c r="K397" s="24" t="s">
        <v>438</v>
      </c>
      <c r="L397" s="23">
        <f t="shared" si="276"/>
        <v>96096.468253968487</v>
      </c>
      <c r="M397" s="23">
        <f t="shared" si="277"/>
        <v>94761.904761904763</v>
      </c>
      <c r="N397" s="23">
        <f t="shared" si="279"/>
        <v>1334.5634920637174</v>
      </c>
      <c r="O397" s="23">
        <f t="shared" si="278"/>
        <v>2369047.6190480348</v>
      </c>
    </row>
    <row r="398" spans="1:15" ht="18.600000000000001" thickBot="1" x14ac:dyDescent="0.5">
      <c r="A398" s="12" t="s">
        <v>19</v>
      </c>
      <c r="B398" s="12"/>
      <c r="C398" s="12"/>
      <c r="D398" s="12"/>
      <c r="E398" s="15">
        <f t="shared" ref="E398" si="285">-((E395-E393)/E396)</f>
        <v>9.6084467940686924</v>
      </c>
      <c r="F398" s="3" t="s">
        <v>20</v>
      </c>
      <c r="J398">
        <v>396</v>
      </c>
      <c r="K398" s="24" t="s">
        <v>439</v>
      </c>
      <c r="L398" s="23">
        <f t="shared" si="276"/>
        <v>96045.138888889109</v>
      </c>
      <c r="M398" s="23">
        <f t="shared" si="277"/>
        <v>94761.904761904763</v>
      </c>
      <c r="N398" s="23">
        <f t="shared" si="279"/>
        <v>1283.2341269843523</v>
      </c>
      <c r="O398" s="23">
        <f t="shared" si="278"/>
        <v>2274285.7142861299</v>
      </c>
    </row>
    <row r="399" spans="1:15" x14ac:dyDescent="0.45">
      <c r="A399" s="3"/>
      <c r="B399" s="3"/>
      <c r="C399" s="3"/>
      <c r="D399" s="3"/>
      <c r="E399" s="3"/>
      <c r="F399" s="3"/>
      <c r="J399">
        <v>397</v>
      </c>
      <c r="K399" s="24" t="s">
        <v>440</v>
      </c>
      <c r="L399" s="23">
        <f t="shared" si="276"/>
        <v>95993.809523809745</v>
      </c>
      <c r="M399" s="23">
        <f t="shared" si="277"/>
        <v>94761.904761904763</v>
      </c>
      <c r="N399" s="23">
        <f t="shared" si="279"/>
        <v>1231.9047619049873</v>
      </c>
      <c r="O399" s="23">
        <f t="shared" si="278"/>
        <v>2179523.8095242251</v>
      </c>
    </row>
    <row r="400" spans="1:15" ht="18.600000000000001" thickBot="1" x14ac:dyDescent="0.5">
      <c r="A400" s="3"/>
      <c r="B400" s="3"/>
      <c r="D400" s="3"/>
      <c r="E400" s="3"/>
      <c r="F400" s="3"/>
      <c r="J400">
        <v>398</v>
      </c>
      <c r="K400" s="24" t="s">
        <v>441</v>
      </c>
      <c r="L400" s="23">
        <f t="shared" si="276"/>
        <v>95942.480158730381</v>
      </c>
      <c r="M400" s="23">
        <f t="shared" si="277"/>
        <v>94761.904761904763</v>
      </c>
      <c r="N400" s="23">
        <f t="shared" si="279"/>
        <v>1180.575396825622</v>
      </c>
      <c r="O400" s="23">
        <f t="shared" si="278"/>
        <v>2084761.9047623202</v>
      </c>
    </row>
    <row r="401" spans="1:15" ht="18.600000000000001" thickBot="1" x14ac:dyDescent="0.5">
      <c r="A401" s="10" t="s">
        <v>4</v>
      </c>
      <c r="B401" s="3"/>
      <c r="C401" s="3"/>
      <c r="D401" s="3"/>
      <c r="E401" s="4" t="s">
        <v>1</v>
      </c>
      <c r="F401" s="4"/>
      <c r="G401" s="38" t="s">
        <v>508</v>
      </c>
      <c r="H401" s="42">
        <f t="shared" ref="H401" si="286">H380+1</f>
        <v>20</v>
      </c>
      <c r="I401" t="s">
        <v>509</v>
      </c>
      <c r="J401">
        <v>399</v>
      </c>
      <c r="K401" s="24" t="s">
        <v>442</v>
      </c>
      <c r="L401" s="23">
        <f t="shared" si="276"/>
        <v>95891.150793651017</v>
      </c>
      <c r="M401" s="23">
        <f t="shared" si="277"/>
        <v>94761.904761904763</v>
      </c>
      <c r="N401" s="23">
        <f t="shared" si="279"/>
        <v>1129.2460317462569</v>
      </c>
      <c r="O401" s="23">
        <f t="shared" si="278"/>
        <v>1990000.0000004154</v>
      </c>
    </row>
    <row r="402" spans="1:15" ht="18.600000000000001" thickBot="1" x14ac:dyDescent="0.5">
      <c r="A402" s="133" t="s">
        <v>5</v>
      </c>
      <c r="B402" s="133"/>
      <c r="C402" s="133"/>
      <c r="D402" s="133"/>
      <c r="E402" s="11" t="s">
        <v>0</v>
      </c>
      <c r="F402" s="3"/>
      <c r="G402" s="36" t="s">
        <v>464</v>
      </c>
      <c r="H402" s="37">
        <f t="shared" ref="H402:H452" si="287">H381</f>
        <v>3980</v>
      </c>
      <c r="I402" t="s">
        <v>465</v>
      </c>
      <c r="J402">
        <v>400</v>
      </c>
      <c r="K402" s="24" t="s">
        <v>443</v>
      </c>
      <c r="L402" s="23">
        <f t="shared" si="276"/>
        <v>95839.821428571653</v>
      </c>
      <c r="M402" s="23">
        <f t="shared" si="277"/>
        <v>94761.904761904763</v>
      </c>
      <c r="N402" s="23">
        <f t="shared" si="279"/>
        <v>1077.9166666668918</v>
      </c>
      <c r="O402" s="23">
        <f t="shared" si="278"/>
        <v>1895238.0952385105</v>
      </c>
    </row>
    <row r="403" spans="1:15" ht="18.600000000000001" thickBot="1" x14ac:dyDescent="0.5">
      <c r="A403" s="85"/>
      <c r="B403" s="87"/>
      <c r="C403" s="127" t="s">
        <v>3</v>
      </c>
      <c r="D403" s="128"/>
      <c r="E403" s="29">
        <f t="shared" ref="E403" si="288">IF(H405="",0,H405)</f>
        <v>0</v>
      </c>
      <c r="F403" s="3"/>
      <c r="G403" s="25" t="s">
        <v>466</v>
      </c>
      <c r="H403" s="43">
        <f t="shared" si="287"/>
        <v>0.65</v>
      </c>
      <c r="I403" t="s">
        <v>469</v>
      </c>
      <c r="J403">
        <v>401</v>
      </c>
      <c r="K403" s="24" t="s">
        <v>444</v>
      </c>
      <c r="L403" s="23">
        <f t="shared" si="276"/>
        <v>95788.492063492289</v>
      </c>
      <c r="M403" s="23">
        <f t="shared" si="277"/>
        <v>94761.904761904763</v>
      </c>
      <c r="N403" s="23">
        <f t="shared" si="279"/>
        <v>1026.5873015875266</v>
      </c>
      <c r="O403" s="23">
        <f t="shared" si="278"/>
        <v>1800476.1904766057</v>
      </c>
    </row>
    <row r="404" spans="1:15" ht="18.600000000000001" thickBot="1" x14ac:dyDescent="0.5">
      <c r="A404" s="86"/>
      <c r="B404" s="88"/>
      <c r="C404" s="127" t="s">
        <v>6</v>
      </c>
      <c r="D404" s="128"/>
      <c r="E404" s="19">
        <f>IF(H408="",$H$7*0.06,H408)</f>
        <v>238.79999999999998</v>
      </c>
      <c r="F404" s="3"/>
      <c r="G404" s="25" t="s">
        <v>467</v>
      </c>
      <c r="H404" s="37">
        <f t="shared" si="287"/>
        <v>35</v>
      </c>
      <c r="I404" t="s">
        <v>468</v>
      </c>
      <c r="J404">
        <v>402</v>
      </c>
      <c r="K404" s="24" t="s">
        <v>445</v>
      </c>
      <c r="L404" s="23">
        <f t="shared" si="276"/>
        <v>95737.162698412925</v>
      </c>
      <c r="M404" s="23">
        <f t="shared" si="277"/>
        <v>94761.904761904763</v>
      </c>
      <c r="N404" s="23">
        <f t="shared" si="279"/>
        <v>975.25793650816149</v>
      </c>
      <c r="O404" s="23">
        <f t="shared" si="278"/>
        <v>1705714.2857147008</v>
      </c>
    </row>
    <row r="405" spans="1:15" ht="18.600000000000001" thickBot="1" x14ac:dyDescent="0.5">
      <c r="A405" s="86"/>
      <c r="B405" s="91" t="s">
        <v>7</v>
      </c>
      <c r="C405" s="92"/>
      <c r="D405" s="92"/>
      <c r="E405" s="19">
        <f t="shared" ref="E405" si="289">SUM(E403:E404)</f>
        <v>238.79999999999998</v>
      </c>
      <c r="F405" s="3"/>
      <c r="G405" s="28" t="s">
        <v>3</v>
      </c>
      <c r="H405" s="37">
        <f t="shared" si="287"/>
        <v>0</v>
      </c>
      <c r="I405" t="s">
        <v>465</v>
      </c>
      <c r="J405">
        <v>403</v>
      </c>
      <c r="K405" s="24" t="s">
        <v>446</v>
      </c>
      <c r="L405" s="23">
        <f t="shared" si="276"/>
        <v>95685.833333333561</v>
      </c>
      <c r="M405" s="23">
        <f t="shared" si="277"/>
        <v>94761.904761904763</v>
      </c>
      <c r="N405" s="23">
        <f t="shared" si="279"/>
        <v>923.92857142879632</v>
      </c>
      <c r="O405" s="23">
        <f t="shared" si="278"/>
        <v>1610952.380952796</v>
      </c>
    </row>
    <row r="406" spans="1:15" ht="18.600000000000001" thickBot="1" x14ac:dyDescent="0.5">
      <c r="A406" s="86"/>
      <c r="B406" s="7"/>
      <c r="C406" s="5" t="s">
        <v>8</v>
      </c>
      <c r="D406" s="5"/>
      <c r="E406" s="49">
        <f t="shared" ref="E406" si="290">_xlfn.SWITCH(H401,1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2644.4730952380978</v>
      </c>
      <c r="F406" s="3"/>
      <c r="G406" s="28" t="s">
        <v>16</v>
      </c>
      <c r="H406" s="37">
        <f>真実の家賃!$I$8*AD22</f>
        <v>2507.4</v>
      </c>
      <c r="I406" t="s">
        <v>465</v>
      </c>
      <c r="J406">
        <v>404</v>
      </c>
      <c r="K406" s="24" t="s">
        <v>447</v>
      </c>
      <c r="L406" s="23">
        <f t="shared" si="276"/>
        <v>95634.503968254197</v>
      </c>
      <c r="M406" s="23">
        <f t="shared" si="277"/>
        <v>94761.904761904763</v>
      </c>
      <c r="N406" s="23">
        <f t="shared" si="279"/>
        <v>872.59920634943126</v>
      </c>
      <c r="O406" s="23">
        <f t="shared" si="278"/>
        <v>1516190.4761908911</v>
      </c>
    </row>
    <row r="407" spans="1:15" ht="18.600000000000001" thickBot="1" x14ac:dyDescent="0.5">
      <c r="A407" s="86"/>
      <c r="B407" s="8"/>
      <c r="C407" s="127" t="s">
        <v>2</v>
      </c>
      <c r="D407" s="128"/>
      <c r="E407" s="19">
        <f t="shared" ref="E407" si="291">IF(H409="",H401*15,H409)</f>
        <v>300</v>
      </c>
      <c r="F407" s="3"/>
      <c r="G407" s="56" t="s">
        <v>573</v>
      </c>
      <c r="H407" s="40" t="str">
        <f t="shared" si="287"/>
        <v/>
      </c>
      <c r="I407" t="s">
        <v>465</v>
      </c>
      <c r="J407">
        <v>405</v>
      </c>
      <c r="K407" s="24" t="s">
        <v>448</v>
      </c>
      <c r="L407" s="23">
        <f t="shared" si="276"/>
        <v>95583.174603174833</v>
      </c>
      <c r="M407" s="23">
        <f t="shared" si="277"/>
        <v>94761.904761904763</v>
      </c>
      <c r="N407" s="23">
        <f t="shared" si="279"/>
        <v>821.26984127006608</v>
      </c>
      <c r="O407" s="23">
        <f t="shared" si="278"/>
        <v>1421428.5714289863</v>
      </c>
    </row>
    <row r="408" spans="1:15" ht="18.600000000000001" thickBot="1" x14ac:dyDescent="0.5">
      <c r="A408" s="86"/>
      <c r="B408" s="8"/>
      <c r="C408" s="129" t="s">
        <v>9</v>
      </c>
      <c r="D408" s="129"/>
      <c r="E408" s="19">
        <f t="shared" ref="E408" si="292">_xlfn.SWITCH(H401,1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408" s="3"/>
      <c r="G408" s="34" t="s">
        <v>6</v>
      </c>
      <c r="H408" s="40" t="str">
        <f t="shared" si="287"/>
        <v/>
      </c>
      <c r="I408" t="s">
        <v>465</v>
      </c>
      <c r="J408">
        <v>406</v>
      </c>
      <c r="K408" s="24" t="s">
        <v>449</v>
      </c>
      <c r="L408" s="23">
        <f t="shared" si="276"/>
        <v>95531.84523809547</v>
      </c>
      <c r="M408" s="23">
        <f t="shared" si="277"/>
        <v>94761.904761904763</v>
      </c>
      <c r="N408" s="23">
        <f t="shared" si="279"/>
        <v>769.94047619070091</v>
      </c>
      <c r="O408" s="23">
        <f t="shared" si="278"/>
        <v>1326666.6666670814</v>
      </c>
    </row>
    <row r="409" spans="1:15" ht="18.600000000000001" thickBot="1" x14ac:dyDescent="0.5">
      <c r="A409" s="86"/>
      <c r="B409" s="8"/>
      <c r="C409" s="130" t="s">
        <v>10</v>
      </c>
      <c r="D409" s="131"/>
      <c r="E409" s="49">
        <f t="shared" ref="E409" si="293">IF(H407="",$Z$3,H401*H407)</f>
        <v>0</v>
      </c>
      <c r="F409" s="3"/>
      <c r="G409" s="28" t="s">
        <v>560</v>
      </c>
      <c r="H409" s="40" t="str">
        <f t="shared" si="287"/>
        <v/>
      </c>
      <c r="I409" t="s">
        <v>465</v>
      </c>
      <c r="J409">
        <v>407</v>
      </c>
      <c r="K409" s="24" t="s">
        <v>450</v>
      </c>
      <c r="L409" s="23">
        <f t="shared" si="276"/>
        <v>95480.515873016106</v>
      </c>
      <c r="M409" s="23">
        <f t="shared" si="277"/>
        <v>94761.904761904763</v>
      </c>
      <c r="N409" s="23">
        <f t="shared" si="279"/>
        <v>718.61111111133584</v>
      </c>
      <c r="O409" s="23">
        <f t="shared" si="278"/>
        <v>1231904.7619051766</v>
      </c>
    </row>
    <row r="410" spans="1:15" ht="18.600000000000001" thickBot="1" x14ac:dyDescent="0.5">
      <c r="A410" s="86"/>
      <c r="B410" s="132" t="s">
        <v>11</v>
      </c>
      <c r="C410" s="126"/>
      <c r="D410" s="126"/>
      <c r="E410" s="19">
        <f t="shared" ref="E410" si="294">SUM(E406:E409)</f>
        <v>2654.7290952380963</v>
      </c>
      <c r="F410" s="3"/>
      <c r="G410" s="33" t="s">
        <v>561</v>
      </c>
      <c r="H410" s="41" t="str">
        <f t="shared" si="287"/>
        <v/>
      </c>
      <c r="I410" t="s">
        <v>465</v>
      </c>
      <c r="J410">
        <v>408</v>
      </c>
      <c r="K410" s="24" t="s">
        <v>451</v>
      </c>
      <c r="L410" s="23">
        <f t="shared" si="276"/>
        <v>95429.186507936727</v>
      </c>
      <c r="M410" s="23">
        <f t="shared" si="277"/>
        <v>94761.904761904763</v>
      </c>
      <c r="N410" s="23">
        <f t="shared" si="279"/>
        <v>667.28174603197067</v>
      </c>
      <c r="O410" s="23">
        <f t="shared" si="278"/>
        <v>1137142.8571432717</v>
      </c>
    </row>
    <row r="411" spans="1:15" ht="18.600000000000001" thickBot="1" x14ac:dyDescent="0.5">
      <c r="A411" s="86"/>
      <c r="B411" s="7"/>
      <c r="C411" s="127" t="s">
        <v>12</v>
      </c>
      <c r="D411" s="128"/>
      <c r="E411" s="19">
        <f t="shared" ref="E411" si="295">_xlfn.SWITCH(H401,1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1705.7142857143283</v>
      </c>
      <c r="F411" s="3"/>
      <c r="G411" s="30"/>
      <c r="J411">
        <v>409</v>
      </c>
      <c r="K411" s="24" t="s">
        <v>452</v>
      </c>
      <c r="L411" s="23">
        <f t="shared" si="276"/>
        <v>95377.857142857363</v>
      </c>
      <c r="M411" s="23">
        <f t="shared" si="277"/>
        <v>94761.904761904763</v>
      </c>
      <c r="N411" s="23">
        <f t="shared" si="279"/>
        <v>615.95238095260549</v>
      </c>
      <c r="O411" s="23">
        <f t="shared" si="278"/>
        <v>1042380.952381367</v>
      </c>
    </row>
    <row r="412" spans="1:15" ht="18.600000000000001" thickBot="1" x14ac:dyDescent="0.5">
      <c r="A412" s="86"/>
      <c r="B412" s="8"/>
      <c r="C412" s="127" t="s">
        <v>13</v>
      </c>
      <c r="D412" s="128"/>
      <c r="E412" s="19">
        <f>IF(H410="",H406*0.05,H410)</f>
        <v>125.37</v>
      </c>
      <c r="F412" s="3"/>
      <c r="G412" s="30"/>
      <c r="J412">
        <v>410</v>
      </c>
      <c r="K412" s="24" t="s">
        <v>453</v>
      </c>
      <c r="L412" s="23">
        <f t="shared" si="276"/>
        <v>95326.527777777999</v>
      </c>
      <c r="M412" s="23">
        <f t="shared" si="277"/>
        <v>94761.904761904763</v>
      </c>
      <c r="N412" s="23">
        <f t="shared" si="279"/>
        <v>564.62301587324043</v>
      </c>
      <c r="O412" s="23">
        <f t="shared" si="278"/>
        <v>947619.04761946225</v>
      </c>
    </row>
    <row r="413" spans="1:15" ht="18.600000000000001" thickBot="1" x14ac:dyDescent="0.5">
      <c r="A413" s="86"/>
      <c r="B413" s="132" t="s">
        <v>14</v>
      </c>
      <c r="C413" s="126"/>
      <c r="D413" s="126"/>
      <c r="E413" s="19">
        <f t="shared" ref="E413" si="296">SUM(E411:E412)</f>
        <v>1831.0842857143284</v>
      </c>
      <c r="F413" s="3"/>
      <c r="G413" s="30"/>
      <c r="J413">
        <v>411</v>
      </c>
      <c r="K413" s="24" t="s">
        <v>454</v>
      </c>
      <c r="L413" s="23">
        <f t="shared" si="276"/>
        <v>95275.198412698635</v>
      </c>
      <c r="M413" s="23">
        <f t="shared" si="277"/>
        <v>94761.904761904763</v>
      </c>
      <c r="N413" s="23">
        <f t="shared" si="279"/>
        <v>513.29365079387537</v>
      </c>
      <c r="O413" s="23">
        <f t="shared" si="278"/>
        <v>852857.14285755751</v>
      </c>
    </row>
    <row r="414" spans="1:15" ht="18.600000000000001" thickBot="1" x14ac:dyDescent="0.5">
      <c r="A414" s="97" t="s">
        <v>15</v>
      </c>
      <c r="B414" s="98"/>
      <c r="C414" s="98"/>
      <c r="D414" s="99"/>
      <c r="E414" s="20">
        <f t="shared" ref="E414" si="297">E405+E410+E413</f>
        <v>4724.6133809524254</v>
      </c>
      <c r="F414" s="3"/>
      <c r="J414">
        <v>412</v>
      </c>
      <c r="K414" s="24" t="s">
        <v>455</v>
      </c>
      <c r="L414" s="23">
        <f t="shared" si="276"/>
        <v>95223.869047619271</v>
      </c>
      <c r="M414" s="23">
        <f t="shared" si="277"/>
        <v>94761.904761904763</v>
      </c>
      <c r="N414" s="23">
        <f t="shared" si="279"/>
        <v>461.96428571451037</v>
      </c>
      <c r="O414" s="23">
        <f t="shared" si="278"/>
        <v>758095.23809565278</v>
      </c>
    </row>
    <row r="415" spans="1:15" ht="18.600000000000001" thickBot="1" x14ac:dyDescent="0.5">
      <c r="A415" s="6"/>
      <c r="B415" s="126" t="s">
        <v>16</v>
      </c>
      <c r="C415" s="126"/>
      <c r="D415" s="126"/>
      <c r="E415" s="19">
        <f t="shared" ref="E415" si="298">H406</f>
        <v>2507.4</v>
      </c>
      <c r="F415" s="3"/>
      <c r="J415">
        <v>413</v>
      </c>
      <c r="K415" s="24" t="s">
        <v>456</v>
      </c>
      <c r="L415" s="23">
        <f t="shared" si="276"/>
        <v>95172.539682539908</v>
      </c>
      <c r="M415" s="23">
        <f t="shared" si="277"/>
        <v>94761.904761904763</v>
      </c>
      <c r="N415" s="23">
        <f t="shared" si="279"/>
        <v>410.63492063514531</v>
      </c>
      <c r="O415" s="23">
        <f t="shared" si="278"/>
        <v>663333.33333374804</v>
      </c>
    </row>
    <row r="416" spans="1:15" ht="18.600000000000001" thickBot="1" x14ac:dyDescent="0.5">
      <c r="A416" s="97" t="s">
        <v>17</v>
      </c>
      <c r="B416" s="98"/>
      <c r="C416" s="98"/>
      <c r="D416" s="99"/>
      <c r="E416" s="20">
        <f t="shared" ref="E416" si="299">E415</f>
        <v>2507.4</v>
      </c>
      <c r="F416" s="3"/>
      <c r="J416">
        <v>414</v>
      </c>
      <c r="K416" s="24" t="s">
        <v>457</v>
      </c>
      <c r="L416" s="23">
        <f t="shared" si="276"/>
        <v>95121.210317460544</v>
      </c>
      <c r="M416" s="23">
        <f t="shared" si="277"/>
        <v>94761.904761904763</v>
      </c>
      <c r="N416" s="23">
        <f t="shared" si="279"/>
        <v>359.30555555578024</v>
      </c>
      <c r="O416" s="23">
        <f t="shared" si="278"/>
        <v>568571.42857184331</v>
      </c>
    </row>
    <row r="417" spans="1:15" ht="18.600000000000001" thickBot="1" x14ac:dyDescent="0.5">
      <c r="A417" s="96" t="s">
        <v>18</v>
      </c>
      <c r="B417" s="96"/>
      <c r="C417" s="96"/>
      <c r="D417" s="96"/>
      <c r="E417" s="14">
        <f t="shared" ref="E417" si="300">12*H401</f>
        <v>240</v>
      </c>
      <c r="F417" s="3"/>
      <c r="J417">
        <v>415</v>
      </c>
      <c r="K417" s="24" t="s">
        <v>458</v>
      </c>
      <c r="L417" s="23">
        <f t="shared" si="276"/>
        <v>95069.88095238118</v>
      </c>
      <c r="M417" s="23">
        <f t="shared" si="277"/>
        <v>94761.904761904763</v>
      </c>
      <c r="N417" s="23">
        <f t="shared" si="279"/>
        <v>307.97619047641518</v>
      </c>
      <c r="O417" s="23">
        <f t="shared" si="278"/>
        <v>473809.52380993858</v>
      </c>
    </row>
    <row r="418" spans="1:15" ht="18.600000000000001" thickBot="1" x14ac:dyDescent="0.5">
      <c r="A418" s="3"/>
      <c r="B418" s="3"/>
      <c r="C418" s="3"/>
      <c r="D418" s="3"/>
      <c r="E418" s="3"/>
      <c r="F418" s="3"/>
      <c r="J418">
        <v>416</v>
      </c>
      <c r="K418" s="24" t="s">
        <v>459</v>
      </c>
      <c r="L418" s="23">
        <f t="shared" si="276"/>
        <v>95018.551587301816</v>
      </c>
      <c r="M418" s="23">
        <f t="shared" si="277"/>
        <v>94761.904761904763</v>
      </c>
      <c r="N418" s="23">
        <f t="shared" si="279"/>
        <v>256.64682539705007</v>
      </c>
      <c r="O418" s="23">
        <f t="shared" si="278"/>
        <v>379047.61904803384</v>
      </c>
    </row>
    <row r="419" spans="1:15" ht="18.600000000000001" thickBot="1" x14ac:dyDescent="0.5">
      <c r="A419" s="12" t="s">
        <v>19</v>
      </c>
      <c r="B419" s="12"/>
      <c r="C419" s="12"/>
      <c r="D419" s="12"/>
      <c r="E419" s="15">
        <f t="shared" ref="E419" si="301">-((E416-E414)/E417)</f>
        <v>9.2383890873017727</v>
      </c>
      <c r="F419" s="3" t="s">
        <v>20</v>
      </c>
      <c r="J419">
        <v>417</v>
      </c>
      <c r="K419" s="24" t="s">
        <v>460</v>
      </c>
      <c r="L419" s="23">
        <f t="shared" si="276"/>
        <v>94967.222222222452</v>
      </c>
      <c r="M419" s="23">
        <f t="shared" si="277"/>
        <v>94761.904761904763</v>
      </c>
      <c r="N419" s="23">
        <f t="shared" si="279"/>
        <v>205.317460317685</v>
      </c>
      <c r="O419" s="23">
        <f t="shared" si="278"/>
        <v>284285.71428612911</v>
      </c>
    </row>
    <row r="420" spans="1:15" x14ac:dyDescent="0.45">
      <c r="A420" s="3"/>
      <c r="B420" s="3"/>
      <c r="C420" s="3"/>
      <c r="D420" s="3"/>
      <c r="E420" s="3"/>
      <c r="F420" s="3"/>
      <c r="J420">
        <v>418</v>
      </c>
      <c r="K420" s="24" t="s">
        <v>461</v>
      </c>
      <c r="L420" s="23">
        <f t="shared" si="276"/>
        <v>94915.892857143088</v>
      </c>
      <c r="M420" s="23">
        <f t="shared" si="277"/>
        <v>94761.904761904763</v>
      </c>
      <c r="N420" s="23">
        <f t="shared" si="279"/>
        <v>153.98809523831994</v>
      </c>
      <c r="O420" s="23">
        <f t="shared" si="278"/>
        <v>189523.80952422434</v>
      </c>
    </row>
    <row r="421" spans="1:15" ht="18.600000000000001" thickBot="1" x14ac:dyDescent="0.5">
      <c r="A421" s="3"/>
      <c r="B421" s="3"/>
      <c r="D421" s="3"/>
      <c r="E421" s="3"/>
      <c r="F421" s="3"/>
      <c r="J421">
        <v>419</v>
      </c>
      <c r="K421" s="24" t="s">
        <v>462</v>
      </c>
      <c r="L421" s="23">
        <f t="shared" si="276"/>
        <v>94864.563492063724</v>
      </c>
      <c r="M421" s="23">
        <f t="shared" si="277"/>
        <v>94761.904761904763</v>
      </c>
      <c r="N421" s="23">
        <f t="shared" si="279"/>
        <v>102.65873015895487</v>
      </c>
      <c r="O421" s="23">
        <f t="shared" si="278"/>
        <v>94761.90476231958</v>
      </c>
    </row>
    <row r="422" spans="1:15" ht="18.600000000000001" thickBot="1" x14ac:dyDescent="0.5">
      <c r="A422" s="10" t="s">
        <v>4</v>
      </c>
      <c r="B422" s="3"/>
      <c r="C422" s="3"/>
      <c r="D422" s="3"/>
      <c r="E422" s="4" t="s">
        <v>1</v>
      </c>
      <c r="F422" s="4"/>
      <c r="G422" s="38" t="s">
        <v>508</v>
      </c>
      <c r="H422" s="42">
        <f t="shared" ref="H422" si="302">H401+1</f>
        <v>21</v>
      </c>
      <c r="I422" t="s">
        <v>509</v>
      </c>
      <c r="J422">
        <v>420</v>
      </c>
      <c r="K422" s="24" t="s">
        <v>463</v>
      </c>
      <c r="L422" s="23">
        <f t="shared" si="276"/>
        <v>94813.23412698436</v>
      </c>
      <c r="M422" s="23">
        <f t="shared" si="277"/>
        <v>94761.904761904763</v>
      </c>
      <c r="N422" s="23">
        <f t="shared" si="279"/>
        <v>51.32936507958977</v>
      </c>
      <c r="O422" s="23">
        <f t="shared" si="278"/>
        <v>4.1481689549982548E-7</v>
      </c>
    </row>
    <row r="423" spans="1:15" ht="18.600000000000001" thickBot="1" x14ac:dyDescent="0.5">
      <c r="A423" s="133" t="s">
        <v>5</v>
      </c>
      <c r="B423" s="133"/>
      <c r="C423" s="133"/>
      <c r="D423" s="133"/>
      <c r="E423" s="11" t="s">
        <v>0</v>
      </c>
      <c r="F423" s="3"/>
      <c r="G423" s="36" t="s">
        <v>464</v>
      </c>
      <c r="H423" s="37">
        <f t="shared" ref="H423:H473" si="303">H402</f>
        <v>3980</v>
      </c>
      <c r="I423" t="s">
        <v>465</v>
      </c>
      <c r="K423" s="21" t="s">
        <v>21</v>
      </c>
      <c r="L423" s="13">
        <f>SUM(L3:L422)</f>
        <v>44338029.166666739</v>
      </c>
      <c r="M423" s="13">
        <f>SUM(M3:M422)</f>
        <v>39799999.999999583</v>
      </c>
      <c r="N423" s="13">
        <f>SUM(N3:N422)</f>
        <v>4538029.166666735</v>
      </c>
      <c r="O423">
        <v>0</v>
      </c>
    </row>
    <row r="424" spans="1:15" ht="18.600000000000001" thickBot="1" x14ac:dyDescent="0.5">
      <c r="A424" s="85"/>
      <c r="B424" s="87"/>
      <c r="C424" s="127" t="s">
        <v>3</v>
      </c>
      <c r="D424" s="128"/>
      <c r="E424" s="29">
        <f t="shared" ref="E424" si="304">IF(H426="",0,H426)</f>
        <v>0</v>
      </c>
      <c r="F424" s="3"/>
      <c r="G424" s="25" t="s">
        <v>466</v>
      </c>
      <c r="H424" s="43">
        <f t="shared" si="303"/>
        <v>0.65</v>
      </c>
      <c r="I424" t="s">
        <v>469</v>
      </c>
    </row>
    <row r="425" spans="1:15" ht="18.600000000000001" thickBot="1" x14ac:dyDescent="0.5">
      <c r="A425" s="86"/>
      <c r="B425" s="88"/>
      <c r="C425" s="127" t="s">
        <v>6</v>
      </c>
      <c r="D425" s="128"/>
      <c r="E425" s="19">
        <f>IF(H429="",$H$7*0.06,H429)</f>
        <v>238.79999999999998</v>
      </c>
      <c r="F425" s="3"/>
      <c r="G425" s="25" t="s">
        <v>467</v>
      </c>
      <c r="H425" s="37">
        <f t="shared" si="303"/>
        <v>35</v>
      </c>
      <c r="I425" t="s">
        <v>468</v>
      </c>
    </row>
    <row r="426" spans="1:15" ht="18.600000000000001" thickBot="1" x14ac:dyDescent="0.5">
      <c r="A426" s="86"/>
      <c r="B426" s="91" t="s">
        <v>7</v>
      </c>
      <c r="C426" s="92"/>
      <c r="D426" s="92"/>
      <c r="E426" s="19">
        <f t="shared" ref="E426" si="305">SUM(E424:E425)</f>
        <v>238.79999999999998</v>
      </c>
      <c r="F426" s="3"/>
      <c r="G426" s="28" t="s">
        <v>3</v>
      </c>
      <c r="H426" s="37">
        <f t="shared" si="303"/>
        <v>0</v>
      </c>
      <c r="I426" t="s">
        <v>465</v>
      </c>
    </row>
    <row r="427" spans="1:15" ht="18.600000000000001" thickBot="1" x14ac:dyDescent="0.5">
      <c r="A427" s="86"/>
      <c r="B427" s="7"/>
      <c r="C427" s="5" t="s">
        <v>8</v>
      </c>
      <c r="D427" s="5"/>
      <c r="E427" s="49">
        <f t="shared" ref="E427" si="306">_xlfn.SWITCH(H422,1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2768.9357500000028</v>
      </c>
      <c r="F427" s="3"/>
      <c r="G427" s="28" t="s">
        <v>16</v>
      </c>
      <c r="H427" s="37">
        <f>真実の家賃!$I$8*AD23</f>
        <v>2507.4</v>
      </c>
      <c r="I427" t="s">
        <v>465</v>
      </c>
    </row>
    <row r="428" spans="1:15" ht="18.600000000000001" thickBot="1" x14ac:dyDescent="0.5">
      <c r="A428" s="86"/>
      <c r="B428" s="8"/>
      <c r="C428" s="127" t="s">
        <v>2</v>
      </c>
      <c r="D428" s="128"/>
      <c r="E428" s="19">
        <f t="shared" ref="E428" si="307">IF(H430="",H422*15,H430)</f>
        <v>315</v>
      </c>
      <c r="F428" s="3"/>
      <c r="G428" s="56" t="s">
        <v>573</v>
      </c>
      <c r="H428" s="40" t="str">
        <f t="shared" si="303"/>
        <v/>
      </c>
      <c r="I428" t="s">
        <v>465</v>
      </c>
    </row>
    <row r="429" spans="1:15" ht="18.600000000000001" thickBot="1" x14ac:dyDescent="0.5">
      <c r="A429" s="86"/>
      <c r="B429" s="8"/>
      <c r="C429" s="129" t="s">
        <v>9</v>
      </c>
      <c r="D429" s="129"/>
      <c r="E429" s="19">
        <f t="shared" ref="E429" si="308">_xlfn.SWITCH(H422,1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429" s="3"/>
      <c r="G429" s="34" t="s">
        <v>6</v>
      </c>
      <c r="H429" s="40" t="str">
        <f t="shared" si="303"/>
        <v/>
      </c>
      <c r="I429" t="s">
        <v>465</v>
      </c>
    </row>
    <row r="430" spans="1:15" ht="18.600000000000001" thickBot="1" x14ac:dyDescent="0.5">
      <c r="A430" s="86"/>
      <c r="B430" s="8"/>
      <c r="C430" s="130" t="s">
        <v>10</v>
      </c>
      <c r="D430" s="131"/>
      <c r="E430" s="49">
        <f t="shared" ref="E430" si="309">IF(H428="",$Z$3,H422*H428)</f>
        <v>0</v>
      </c>
      <c r="F430" s="3"/>
      <c r="G430" s="28" t="s">
        <v>560</v>
      </c>
      <c r="H430" s="40" t="str">
        <f t="shared" si="303"/>
        <v/>
      </c>
      <c r="I430" t="s">
        <v>465</v>
      </c>
    </row>
    <row r="431" spans="1:15" ht="18.600000000000001" thickBot="1" x14ac:dyDescent="0.5">
      <c r="A431" s="86"/>
      <c r="B431" s="132" t="s">
        <v>11</v>
      </c>
      <c r="C431" s="126"/>
      <c r="D431" s="126"/>
      <c r="E431" s="19">
        <f t="shared" ref="E431" si="310">SUM(E427:E430)</f>
        <v>2794.1917500000018</v>
      </c>
      <c r="F431" s="3"/>
      <c r="G431" s="33" t="s">
        <v>561</v>
      </c>
      <c r="H431" s="41" t="str">
        <f t="shared" si="303"/>
        <v/>
      </c>
      <c r="I431" t="s">
        <v>465</v>
      </c>
    </row>
    <row r="432" spans="1:15" ht="18.600000000000001" thickBot="1" x14ac:dyDescent="0.5">
      <c r="A432" s="86"/>
      <c r="B432" s="7"/>
      <c r="C432" s="127" t="s">
        <v>12</v>
      </c>
      <c r="D432" s="128"/>
      <c r="E432" s="19">
        <f t="shared" ref="E432" si="311">_xlfn.SWITCH(H422,1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1592.0000000000427</v>
      </c>
      <c r="F432" s="3"/>
      <c r="G432" s="30"/>
    </row>
    <row r="433" spans="1:9" ht="18.600000000000001" thickBot="1" x14ac:dyDescent="0.5">
      <c r="A433" s="86"/>
      <c r="B433" s="8"/>
      <c r="C433" s="127" t="s">
        <v>13</v>
      </c>
      <c r="D433" s="128"/>
      <c r="E433" s="19">
        <f>IF(H431="",H427*0.05,H431)</f>
        <v>125.37</v>
      </c>
      <c r="F433" s="3"/>
      <c r="G433" s="30"/>
    </row>
    <row r="434" spans="1:9" ht="18.600000000000001" thickBot="1" x14ac:dyDescent="0.5">
      <c r="A434" s="86"/>
      <c r="B434" s="132" t="s">
        <v>14</v>
      </c>
      <c r="C434" s="126"/>
      <c r="D434" s="126"/>
      <c r="E434" s="19">
        <f t="shared" ref="E434" si="312">SUM(E432:E433)</f>
        <v>1717.3700000000426</v>
      </c>
      <c r="F434" s="3"/>
      <c r="G434" s="30"/>
    </row>
    <row r="435" spans="1:9" ht="18.600000000000001" thickBot="1" x14ac:dyDescent="0.5">
      <c r="A435" s="97" t="s">
        <v>15</v>
      </c>
      <c r="B435" s="98"/>
      <c r="C435" s="98"/>
      <c r="D435" s="99"/>
      <c r="E435" s="20">
        <f t="shared" ref="E435" si="313">E426+E431+E434</f>
        <v>4750.3617500000446</v>
      </c>
      <c r="F435" s="3"/>
    </row>
    <row r="436" spans="1:9" ht="18.600000000000001" thickBot="1" x14ac:dyDescent="0.5">
      <c r="A436" s="6"/>
      <c r="B436" s="126" t="s">
        <v>16</v>
      </c>
      <c r="C436" s="126"/>
      <c r="D436" s="126"/>
      <c r="E436" s="19">
        <f t="shared" ref="E436" si="314">H427</f>
        <v>2507.4</v>
      </c>
      <c r="F436" s="3"/>
    </row>
    <row r="437" spans="1:9" ht="18.600000000000001" thickBot="1" x14ac:dyDescent="0.5">
      <c r="A437" s="97" t="s">
        <v>17</v>
      </c>
      <c r="B437" s="98"/>
      <c r="C437" s="98"/>
      <c r="D437" s="99"/>
      <c r="E437" s="20">
        <f t="shared" ref="E437" si="315">E436</f>
        <v>2507.4</v>
      </c>
      <c r="F437" s="3"/>
    </row>
    <row r="438" spans="1:9" ht="18.600000000000001" thickBot="1" x14ac:dyDescent="0.5">
      <c r="A438" s="96" t="s">
        <v>18</v>
      </c>
      <c r="B438" s="96"/>
      <c r="C438" s="96"/>
      <c r="D438" s="96"/>
      <c r="E438" s="14">
        <f t="shared" ref="E438" si="316">12*H422</f>
        <v>252</v>
      </c>
      <c r="F438" s="3"/>
    </row>
    <row r="439" spans="1:9" ht="18.600000000000001" thickBot="1" x14ac:dyDescent="0.5">
      <c r="A439" s="3"/>
      <c r="B439" s="3"/>
      <c r="C439" s="3"/>
      <c r="D439" s="3"/>
      <c r="E439" s="3"/>
      <c r="F439" s="3"/>
    </row>
    <row r="440" spans="1:9" ht="18.600000000000001" thickBot="1" x14ac:dyDescent="0.5">
      <c r="A440" s="12" t="s">
        <v>19</v>
      </c>
      <c r="B440" s="12"/>
      <c r="C440" s="12"/>
      <c r="D440" s="12"/>
      <c r="E440" s="15">
        <f t="shared" ref="E440" si="317">-((E437-E435)/E438)</f>
        <v>8.9006418650795425</v>
      </c>
      <c r="F440" s="3" t="s">
        <v>20</v>
      </c>
    </row>
    <row r="441" spans="1:9" x14ac:dyDescent="0.45">
      <c r="A441" s="3"/>
      <c r="B441" s="3"/>
      <c r="C441" s="3"/>
      <c r="D441" s="3"/>
      <c r="E441" s="3"/>
      <c r="F441" s="3"/>
    </row>
    <row r="442" spans="1:9" ht="18.600000000000001" thickBot="1" x14ac:dyDescent="0.5">
      <c r="A442" s="3"/>
      <c r="B442" s="3"/>
      <c r="D442" s="3"/>
      <c r="E442" s="3"/>
      <c r="F442" s="3"/>
    </row>
    <row r="443" spans="1:9" ht="18.600000000000001" thickBot="1" x14ac:dyDescent="0.5">
      <c r="A443" s="10" t="s">
        <v>4</v>
      </c>
      <c r="B443" s="3"/>
      <c r="C443" s="3"/>
      <c r="D443" s="3"/>
      <c r="E443" s="4" t="s">
        <v>1</v>
      </c>
      <c r="F443" s="4"/>
      <c r="G443" s="38" t="s">
        <v>508</v>
      </c>
      <c r="H443" s="42">
        <f t="shared" ref="H443" si="318">H422+1</f>
        <v>22</v>
      </c>
      <c r="I443" t="s">
        <v>509</v>
      </c>
    </row>
    <row r="444" spans="1:9" ht="18.600000000000001" thickBot="1" x14ac:dyDescent="0.5">
      <c r="A444" s="133" t="s">
        <v>5</v>
      </c>
      <c r="B444" s="133"/>
      <c r="C444" s="133"/>
      <c r="D444" s="133"/>
      <c r="E444" s="11" t="s">
        <v>0</v>
      </c>
      <c r="F444" s="3"/>
      <c r="G444" s="36" t="s">
        <v>464</v>
      </c>
      <c r="H444" s="37">
        <f t="shared" ref="H444:H449" si="319">H423</f>
        <v>3980</v>
      </c>
      <c r="I444" t="s">
        <v>465</v>
      </c>
    </row>
    <row r="445" spans="1:9" ht="18.600000000000001" thickBot="1" x14ac:dyDescent="0.5">
      <c r="A445" s="85"/>
      <c r="B445" s="87"/>
      <c r="C445" s="127" t="s">
        <v>3</v>
      </c>
      <c r="D445" s="128"/>
      <c r="E445" s="29">
        <f t="shared" ref="E445" si="320">IF(H447="",0,H447)</f>
        <v>0</v>
      </c>
      <c r="F445" s="3"/>
      <c r="G445" s="25" t="s">
        <v>466</v>
      </c>
      <c r="H445" s="43">
        <f t="shared" si="319"/>
        <v>0.65</v>
      </c>
      <c r="I445" t="s">
        <v>469</v>
      </c>
    </row>
    <row r="446" spans="1:9" ht="18.600000000000001" thickBot="1" x14ac:dyDescent="0.5">
      <c r="A446" s="86"/>
      <c r="B446" s="88"/>
      <c r="C446" s="127" t="s">
        <v>6</v>
      </c>
      <c r="D446" s="128"/>
      <c r="E446" s="19">
        <f>IF(H450="",$H$7*0.06,H450)</f>
        <v>238.79999999999998</v>
      </c>
      <c r="F446" s="3"/>
      <c r="G446" s="25" t="s">
        <v>467</v>
      </c>
      <c r="H446" s="37">
        <f t="shared" si="319"/>
        <v>35</v>
      </c>
      <c r="I446" t="s">
        <v>468</v>
      </c>
    </row>
    <row r="447" spans="1:9" ht="18.600000000000001" thickBot="1" x14ac:dyDescent="0.5">
      <c r="A447" s="86"/>
      <c r="B447" s="91" t="s">
        <v>7</v>
      </c>
      <c r="C447" s="92"/>
      <c r="D447" s="92"/>
      <c r="E447" s="19">
        <f t="shared" ref="E447" si="321">SUM(E445:E446)</f>
        <v>238.79999999999998</v>
      </c>
      <c r="F447" s="3"/>
      <c r="G447" s="28" t="s">
        <v>3</v>
      </c>
      <c r="H447" s="37">
        <f t="shared" si="319"/>
        <v>0</v>
      </c>
      <c r="I447" t="s">
        <v>465</v>
      </c>
    </row>
    <row r="448" spans="1:9" ht="18.600000000000001" thickBot="1" x14ac:dyDescent="0.5">
      <c r="A448" s="86"/>
      <c r="B448" s="7"/>
      <c r="C448" s="5" t="s">
        <v>8</v>
      </c>
      <c r="D448" s="5"/>
      <c r="E448" s="49">
        <f t="shared" ref="E448" si="322">_xlfn.SWITCH(H443,1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2892.6592619047651</v>
      </c>
      <c r="F448" s="3"/>
      <c r="G448" s="28" t="s">
        <v>16</v>
      </c>
      <c r="H448" s="37">
        <f>真実の家賃!$I$8*AD24</f>
        <v>2507.4</v>
      </c>
      <c r="I448" t="s">
        <v>465</v>
      </c>
    </row>
    <row r="449" spans="1:9" ht="18.600000000000001" thickBot="1" x14ac:dyDescent="0.5">
      <c r="A449" s="86"/>
      <c r="B449" s="8"/>
      <c r="C449" s="127" t="s">
        <v>2</v>
      </c>
      <c r="D449" s="128"/>
      <c r="E449" s="19">
        <f t="shared" ref="E449" si="323">IF(H451="",H443*15,H451)</f>
        <v>330</v>
      </c>
      <c r="F449" s="3"/>
      <c r="G449" s="56" t="s">
        <v>573</v>
      </c>
      <c r="H449" s="40" t="str">
        <f t="shared" si="319"/>
        <v/>
      </c>
      <c r="I449" t="s">
        <v>465</v>
      </c>
    </row>
    <row r="450" spans="1:9" ht="18.600000000000001" thickBot="1" x14ac:dyDescent="0.5">
      <c r="A450" s="86"/>
      <c r="B450" s="8"/>
      <c r="C450" s="129" t="s">
        <v>9</v>
      </c>
      <c r="D450" s="129"/>
      <c r="E450" s="19">
        <f t="shared" ref="E450" si="324">_xlfn.SWITCH(H443,1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450" s="3"/>
      <c r="G450" s="34" t="s">
        <v>6</v>
      </c>
      <c r="H450" s="40" t="str">
        <f t="shared" si="287"/>
        <v/>
      </c>
      <c r="I450" t="s">
        <v>465</v>
      </c>
    </row>
    <row r="451" spans="1:9" ht="18.600000000000001" thickBot="1" x14ac:dyDescent="0.5">
      <c r="A451" s="86"/>
      <c r="B451" s="8"/>
      <c r="C451" s="130" t="s">
        <v>10</v>
      </c>
      <c r="D451" s="131"/>
      <c r="E451" s="49">
        <f t="shared" ref="E451" si="325">IF(H449="",$Z$3,H443*H449)</f>
        <v>0</v>
      </c>
      <c r="F451" s="3"/>
      <c r="G451" s="28" t="s">
        <v>560</v>
      </c>
      <c r="H451" s="40" t="str">
        <f t="shared" si="287"/>
        <v/>
      </c>
      <c r="I451" t="s">
        <v>465</v>
      </c>
    </row>
    <row r="452" spans="1:9" ht="18.600000000000001" thickBot="1" x14ac:dyDescent="0.5">
      <c r="A452" s="86"/>
      <c r="B452" s="132" t="s">
        <v>11</v>
      </c>
      <c r="C452" s="126"/>
      <c r="D452" s="126"/>
      <c r="E452" s="19">
        <f t="shared" ref="E452" si="326">SUM(E448:E451)</f>
        <v>2932.9152619047636</v>
      </c>
      <c r="F452" s="3"/>
      <c r="G452" s="33" t="s">
        <v>561</v>
      </c>
      <c r="H452" s="41" t="str">
        <f t="shared" si="287"/>
        <v/>
      </c>
      <c r="I452" t="s">
        <v>465</v>
      </c>
    </row>
    <row r="453" spans="1:9" ht="18.600000000000001" thickBot="1" x14ac:dyDescent="0.5">
      <c r="A453" s="86"/>
      <c r="B453" s="7"/>
      <c r="C453" s="127" t="s">
        <v>12</v>
      </c>
      <c r="D453" s="128"/>
      <c r="E453" s="19">
        <f t="shared" ref="E453" si="327">_xlfn.SWITCH(H443,1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1478.285714285757</v>
      </c>
      <c r="F453" s="3"/>
      <c r="G453" s="30"/>
    </row>
    <row r="454" spans="1:9" ht="18.600000000000001" thickBot="1" x14ac:dyDescent="0.5">
      <c r="A454" s="86"/>
      <c r="B454" s="8"/>
      <c r="C454" s="127" t="s">
        <v>13</v>
      </c>
      <c r="D454" s="128"/>
      <c r="E454" s="19">
        <f>IF(H452="",H448*0.05,H452)</f>
        <v>125.37</v>
      </c>
      <c r="F454" s="3"/>
      <c r="G454" s="30"/>
    </row>
    <row r="455" spans="1:9" ht="18.600000000000001" thickBot="1" x14ac:dyDescent="0.5">
      <c r="A455" s="86"/>
      <c r="B455" s="132" t="s">
        <v>14</v>
      </c>
      <c r="C455" s="126"/>
      <c r="D455" s="126"/>
      <c r="E455" s="19">
        <f t="shared" ref="E455" si="328">SUM(E453:E454)</f>
        <v>1603.6557142857569</v>
      </c>
      <c r="F455" s="3"/>
      <c r="G455" s="30"/>
    </row>
    <row r="456" spans="1:9" ht="18.600000000000001" thickBot="1" x14ac:dyDescent="0.5">
      <c r="A456" s="97" t="s">
        <v>15</v>
      </c>
      <c r="B456" s="98"/>
      <c r="C456" s="98"/>
      <c r="D456" s="99"/>
      <c r="E456" s="20">
        <f t="shared" ref="E456" si="329">E447+E452+E455</f>
        <v>4775.3709761905211</v>
      </c>
      <c r="F456" s="3"/>
    </row>
    <row r="457" spans="1:9" ht="18.600000000000001" thickBot="1" x14ac:dyDescent="0.5">
      <c r="A457" s="6"/>
      <c r="B457" s="126" t="s">
        <v>16</v>
      </c>
      <c r="C457" s="126"/>
      <c r="D457" s="126"/>
      <c r="E457" s="19">
        <f t="shared" ref="E457" si="330">H448</f>
        <v>2507.4</v>
      </c>
      <c r="F457" s="3"/>
    </row>
    <row r="458" spans="1:9" ht="18.600000000000001" thickBot="1" x14ac:dyDescent="0.5">
      <c r="A458" s="97" t="s">
        <v>17</v>
      </c>
      <c r="B458" s="98"/>
      <c r="C458" s="98"/>
      <c r="D458" s="99"/>
      <c r="E458" s="20">
        <f t="shared" ref="E458" si="331">E457</f>
        <v>2507.4</v>
      </c>
      <c r="F458" s="3"/>
    </row>
    <row r="459" spans="1:9" ht="18.600000000000001" thickBot="1" x14ac:dyDescent="0.5">
      <c r="A459" s="96" t="s">
        <v>18</v>
      </c>
      <c r="B459" s="96"/>
      <c r="C459" s="96"/>
      <c r="D459" s="96"/>
      <c r="E459" s="14">
        <f t="shared" ref="E459" si="332">12*H443</f>
        <v>264</v>
      </c>
      <c r="F459" s="3"/>
    </row>
    <row r="460" spans="1:9" ht="18.600000000000001" thickBot="1" x14ac:dyDescent="0.5">
      <c r="A460" s="3"/>
      <c r="B460" s="3"/>
      <c r="C460" s="3"/>
      <c r="D460" s="3"/>
      <c r="E460" s="3"/>
      <c r="F460" s="3"/>
    </row>
    <row r="461" spans="1:9" ht="18.600000000000001" thickBot="1" x14ac:dyDescent="0.5">
      <c r="A461" s="12" t="s">
        <v>19</v>
      </c>
      <c r="B461" s="12"/>
      <c r="C461" s="12"/>
      <c r="D461" s="12"/>
      <c r="E461" s="15">
        <f t="shared" ref="E461" si="333">-((E458-E456)/E459)</f>
        <v>8.5907991522368228</v>
      </c>
      <c r="F461" s="3" t="s">
        <v>20</v>
      </c>
    </row>
    <row r="462" spans="1:9" x14ac:dyDescent="0.45">
      <c r="A462" s="3"/>
      <c r="B462" s="3"/>
      <c r="C462" s="3"/>
      <c r="D462" s="3"/>
      <c r="E462" s="3"/>
      <c r="F462" s="3"/>
    </row>
    <row r="463" spans="1:9" ht="18.600000000000001" thickBot="1" x14ac:dyDescent="0.5">
      <c r="A463" s="3"/>
      <c r="B463" s="3"/>
      <c r="D463" s="3"/>
      <c r="E463" s="3"/>
      <c r="F463" s="3"/>
    </row>
    <row r="464" spans="1:9" ht="18.600000000000001" thickBot="1" x14ac:dyDescent="0.5">
      <c r="A464" s="10" t="s">
        <v>4</v>
      </c>
      <c r="B464" s="3"/>
      <c r="C464" s="3"/>
      <c r="D464" s="3"/>
      <c r="E464" s="4" t="s">
        <v>1</v>
      </c>
      <c r="F464" s="4"/>
      <c r="G464" s="38" t="s">
        <v>508</v>
      </c>
      <c r="H464" s="42">
        <f t="shared" ref="H464" si="334">H443+1</f>
        <v>23</v>
      </c>
      <c r="I464" t="s">
        <v>509</v>
      </c>
    </row>
    <row r="465" spans="1:9" ht="18.600000000000001" thickBot="1" x14ac:dyDescent="0.5">
      <c r="A465" s="133" t="s">
        <v>5</v>
      </c>
      <c r="B465" s="133"/>
      <c r="C465" s="133"/>
      <c r="D465" s="133"/>
      <c r="E465" s="11" t="s">
        <v>0</v>
      </c>
      <c r="F465" s="3"/>
      <c r="G465" s="36" t="s">
        <v>464</v>
      </c>
      <c r="H465" s="37">
        <f t="shared" ref="H465:H470" si="335">H444</f>
        <v>3980</v>
      </c>
      <c r="I465" t="s">
        <v>465</v>
      </c>
    </row>
    <row r="466" spans="1:9" ht="18.600000000000001" thickBot="1" x14ac:dyDescent="0.5">
      <c r="A466" s="85"/>
      <c r="B466" s="87"/>
      <c r="C466" s="127" t="s">
        <v>3</v>
      </c>
      <c r="D466" s="128"/>
      <c r="E466" s="29">
        <f t="shared" ref="E466" si="336">IF(H468="",0,H468)</f>
        <v>0</v>
      </c>
      <c r="F466" s="3"/>
      <c r="G466" s="25" t="s">
        <v>466</v>
      </c>
      <c r="H466" s="43">
        <f t="shared" si="335"/>
        <v>0.65</v>
      </c>
      <c r="I466" t="s">
        <v>469</v>
      </c>
    </row>
    <row r="467" spans="1:9" ht="18.600000000000001" thickBot="1" x14ac:dyDescent="0.5">
      <c r="A467" s="86"/>
      <c r="B467" s="88"/>
      <c r="C467" s="127" t="s">
        <v>6</v>
      </c>
      <c r="D467" s="128"/>
      <c r="E467" s="19">
        <f>IF(H471="",$H$7*0.06,H471)</f>
        <v>238.79999999999998</v>
      </c>
      <c r="F467" s="3"/>
      <c r="G467" s="25" t="s">
        <v>467</v>
      </c>
      <c r="H467" s="37">
        <f t="shared" si="335"/>
        <v>35</v>
      </c>
      <c r="I467" t="s">
        <v>468</v>
      </c>
    </row>
    <row r="468" spans="1:9" ht="18.600000000000001" thickBot="1" x14ac:dyDescent="0.5">
      <c r="A468" s="86"/>
      <c r="B468" s="91" t="s">
        <v>7</v>
      </c>
      <c r="C468" s="92"/>
      <c r="D468" s="92"/>
      <c r="E468" s="19">
        <f t="shared" ref="E468" si="337">SUM(E466:E467)</f>
        <v>238.79999999999998</v>
      </c>
      <c r="F468" s="3"/>
      <c r="G468" s="28" t="s">
        <v>3</v>
      </c>
      <c r="H468" s="37">
        <f t="shared" si="335"/>
        <v>0</v>
      </c>
      <c r="I468" t="s">
        <v>465</v>
      </c>
    </row>
    <row r="469" spans="1:9" ht="18.600000000000001" thickBot="1" x14ac:dyDescent="0.5">
      <c r="A469" s="86"/>
      <c r="B469" s="7"/>
      <c r="C469" s="5" t="s">
        <v>8</v>
      </c>
      <c r="D469" s="5"/>
      <c r="E469" s="49">
        <f t="shared" ref="E469" si="338">_xlfn.SWITCH(H464,1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3015.6436309523842</v>
      </c>
      <c r="F469" s="3"/>
      <c r="G469" s="28" t="s">
        <v>16</v>
      </c>
      <c r="H469" s="37">
        <f>真実の家賃!$I$8*AD25</f>
        <v>2507.4</v>
      </c>
      <c r="I469" t="s">
        <v>465</v>
      </c>
    </row>
    <row r="470" spans="1:9" ht="18.600000000000001" thickBot="1" x14ac:dyDescent="0.5">
      <c r="A470" s="86"/>
      <c r="B470" s="8"/>
      <c r="C470" s="127" t="s">
        <v>2</v>
      </c>
      <c r="D470" s="128"/>
      <c r="E470" s="19">
        <f t="shared" ref="E470" si="339">IF(H472="",H464*15,H472)</f>
        <v>345</v>
      </c>
      <c r="F470" s="3"/>
      <c r="G470" s="56" t="s">
        <v>573</v>
      </c>
      <c r="H470" s="40" t="str">
        <f t="shared" si="335"/>
        <v/>
      </c>
      <c r="I470" t="s">
        <v>465</v>
      </c>
    </row>
    <row r="471" spans="1:9" ht="18.600000000000001" thickBot="1" x14ac:dyDescent="0.5">
      <c r="A471" s="86"/>
      <c r="B471" s="8"/>
      <c r="C471" s="129" t="s">
        <v>9</v>
      </c>
      <c r="D471" s="129"/>
      <c r="E471" s="19">
        <f t="shared" ref="E471" si="340">_xlfn.SWITCH(H464,1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471" s="3"/>
      <c r="G471" s="34" t="s">
        <v>6</v>
      </c>
      <c r="H471" s="40" t="str">
        <f t="shared" si="303"/>
        <v/>
      </c>
      <c r="I471" t="s">
        <v>465</v>
      </c>
    </row>
    <row r="472" spans="1:9" ht="18.600000000000001" thickBot="1" x14ac:dyDescent="0.5">
      <c r="A472" s="86"/>
      <c r="B472" s="8"/>
      <c r="C472" s="130" t="s">
        <v>10</v>
      </c>
      <c r="D472" s="131"/>
      <c r="E472" s="49">
        <f t="shared" ref="E472" si="341">IF(H470="",$Z$3,H464*H470)</f>
        <v>0</v>
      </c>
      <c r="F472" s="3"/>
      <c r="G472" s="28" t="s">
        <v>560</v>
      </c>
      <c r="H472" s="40" t="str">
        <f t="shared" si="303"/>
        <v/>
      </c>
      <c r="I472" t="s">
        <v>465</v>
      </c>
    </row>
    <row r="473" spans="1:9" ht="18.600000000000001" thickBot="1" x14ac:dyDescent="0.5">
      <c r="A473" s="86"/>
      <c r="B473" s="132" t="s">
        <v>11</v>
      </c>
      <c r="C473" s="126"/>
      <c r="D473" s="126"/>
      <c r="E473" s="19">
        <f t="shared" ref="E473" si="342">SUM(E469:E472)</f>
        <v>3070.8996309523827</v>
      </c>
      <c r="F473" s="3"/>
      <c r="G473" s="33" t="s">
        <v>561</v>
      </c>
      <c r="H473" s="41" t="str">
        <f t="shared" si="303"/>
        <v/>
      </c>
      <c r="I473" t="s">
        <v>465</v>
      </c>
    </row>
    <row r="474" spans="1:9" ht="18.600000000000001" thickBot="1" x14ac:dyDescent="0.5">
      <c r="A474" s="86"/>
      <c r="B474" s="7"/>
      <c r="C474" s="127" t="s">
        <v>12</v>
      </c>
      <c r="D474" s="128"/>
      <c r="E474" s="19">
        <f t="shared" ref="E474" si="343">_xlfn.SWITCH(H464,1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1364.5714285714712</v>
      </c>
      <c r="F474" s="3"/>
      <c r="G474" s="30"/>
    </row>
    <row r="475" spans="1:9" ht="18.600000000000001" thickBot="1" x14ac:dyDescent="0.5">
      <c r="A475" s="86"/>
      <c r="B475" s="8"/>
      <c r="C475" s="127" t="s">
        <v>13</v>
      </c>
      <c r="D475" s="128"/>
      <c r="E475" s="19">
        <f>IF(H473="",H469*0.05,H473)</f>
        <v>125.37</v>
      </c>
      <c r="F475" s="3"/>
      <c r="G475" s="30"/>
    </row>
    <row r="476" spans="1:9" ht="18.600000000000001" thickBot="1" x14ac:dyDescent="0.5">
      <c r="A476" s="86"/>
      <c r="B476" s="132" t="s">
        <v>14</v>
      </c>
      <c r="C476" s="126"/>
      <c r="D476" s="126"/>
      <c r="E476" s="19">
        <f t="shared" ref="E476" si="344">SUM(E474:E475)</f>
        <v>1489.9414285714711</v>
      </c>
      <c r="F476" s="3"/>
      <c r="G476" s="30"/>
    </row>
    <row r="477" spans="1:9" ht="18.600000000000001" thickBot="1" x14ac:dyDescent="0.5">
      <c r="A477" s="97" t="s">
        <v>15</v>
      </c>
      <c r="B477" s="98"/>
      <c r="C477" s="98"/>
      <c r="D477" s="99"/>
      <c r="E477" s="20">
        <f t="shared" ref="E477" si="345">E468+E473+E476</f>
        <v>4799.641059523854</v>
      </c>
      <c r="F477" s="3"/>
    </row>
    <row r="478" spans="1:9" ht="18.600000000000001" thickBot="1" x14ac:dyDescent="0.5">
      <c r="A478" s="6"/>
      <c r="B478" s="126" t="s">
        <v>16</v>
      </c>
      <c r="C478" s="126"/>
      <c r="D478" s="126"/>
      <c r="E478" s="19">
        <f t="shared" ref="E478" si="346">H469</f>
        <v>2507.4</v>
      </c>
      <c r="F478" s="3"/>
    </row>
    <row r="479" spans="1:9" ht="18.600000000000001" thickBot="1" x14ac:dyDescent="0.5">
      <c r="A479" s="97" t="s">
        <v>17</v>
      </c>
      <c r="B479" s="98"/>
      <c r="C479" s="98"/>
      <c r="D479" s="99"/>
      <c r="E479" s="20">
        <f t="shared" ref="E479" si="347">E478</f>
        <v>2507.4</v>
      </c>
      <c r="F479" s="3"/>
    </row>
    <row r="480" spans="1:9" ht="18.600000000000001" thickBot="1" x14ac:dyDescent="0.5">
      <c r="A480" s="96" t="s">
        <v>18</v>
      </c>
      <c r="B480" s="96"/>
      <c r="C480" s="96"/>
      <c r="D480" s="96"/>
      <c r="E480" s="14">
        <f t="shared" ref="E480" si="348">12*H464</f>
        <v>276</v>
      </c>
      <c r="F480" s="3"/>
    </row>
    <row r="481" spans="1:9" ht="18.600000000000001" thickBot="1" x14ac:dyDescent="0.5">
      <c r="A481" s="3"/>
      <c r="B481" s="3"/>
      <c r="C481" s="3"/>
      <c r="D481" s="3"/>
      <c r="E481" s="3"/>
      <c r="F481" s="3"/>
    </row>
    <row r="482" spans="1:9" ht="18.600000000000001" thickBot="1" x14ac:dyDescent="0.5">
      <c r="A482" s="12" t="s">
        <v>19</v>
      </c>
      <c r="B482" s="12"/>
      <c r="C482" s="12"/>
      <c r="D482" s="12"/>
      <c r="E482" s="15">
        <f t="shared" ref="E482" si="349">-((E479-E477)/E480)</f>
        <v>8.3052212301588906</v>
      </c>
      <c r="F482" s="3" t="s">
        <v>20</v>
      </c>
    </row>
    <row r="483" spans="1:9" x14ac:dyDescent="0.45">
      <c r="A483" s="3"/>
      <c r="B483" s="3"/>
      <c r="C483" s="3"/>
      <c r="D483" s="3"/>
      <c r="E483" s="3"/>
      <c r="F483" s="3"/>
    </row>
    <row r="484" spans="1:9" ht="18.600000000000001" thickBot="1" x14ac:dyDescent="0.5">
      <c r="A484" s="3"/>
      <c r="B484" s="3"/>
      <c r="D484" s="3"/>
      <c r="E484" s="3"/>
      <c r="F484" s="3"/>
    </row>
    <row r="485" spans="1:9" ht="18.600000000000001" thickBot="1" x14ac:dyDescent="0.5">
      <c r="A485" s="10" t="s">
        <v>4</v>
      </c>
      <c r="B485" s="3"/>
      <c r="C485" s="3"/>
      <c r="D485" s="3"/>
      <c r="E485" s="4" t="s">
        <v>1</v>
      </c>
      <c r="F485" s="4"/>
      <c r="G485" s="38" t="s">
        <v>508</v>
      </c>
      <c r="H485" s="42">
        <f t="shared" ref="H485" si="350">H464+1</f>
        <v>24</v>
      </c>
      <c r="I485" t="s">
        <v>509</v>
      </c>
    </row>
    <row r="486" spans="1:9" ht="18.600000000000001" thickBot="1" x14ac:dyDescent="0.5">
      <c r="A486" s="133" t="s">
        <v>5</v>
      </c>
      <c r="B486" s="133"/>
      <c r="C486" s="133"/>
      <c r="D486" s="133"/>
      <c r="E486" s="11" t="s">
        <v>0</v>
      </c>
      <c r="F486" s="3"/>
      <c r="G486" s="36" t="s">
        <v>464</v>
      </c>
      <c r="H486" s="37">
        <f t="shared" ref="H486:H536" si="351">H465</f>
        <v>3980</v>
      </c>
      <c r="I486" t="s">
        <v>465</v>
      </c>
    </row>
    <row r="487" spans="1:9" ht="18.600000000000001" thickBot="1" x14ac:dyDescent="0.5">
      <c r="A487" s="85"/>
      <c r="B487" s="87"/>
      <c r="C487" s="127" t="s">
        <v>3</v>
      </c>
      <c r="D487" s="128"/>
      <c r="E487" s="29">
        <f t="shared" ref="E487" si="352">IF(H489="",0,H489)</f>
        <v>0</v>
      </c>
      <c r="F487" s="3"/>
      <c r="G487" s="25" t="s">
        <v>466</v>
      </c>
      <c r="H487" s="43">
        <f t="shared" si="351"/>
        <v>0.65</v>
      </c>
      <c r="I487" t="s">
        <v>469</v>
      </c>
    </row>
    <row r="488" spans="1:9" ht="18.600000000000001" thickBot="1" x14ac:dyDescent="0.5">
      <c r="A488" s="86"/>
      <c r="B488" s="88"/>
      <c r="C488" s="127" t="s">
        <v>6</v>
      </c>
      <c r="D488" s="128"/>
      <c r="E488" s="19">
        <f>IF(H492="",$H$7*0.06,H492)</f>
        <v>238.79999999999998</v>
      </c>
      <c r="F488" s="3"/>
      <c r="G488" s="25" t="s">
        <v>467</v>
      </c>
      <c r="H488" s="37">
        <f t="shared" si="351"/>
        <v>35</v>
      </c>
      <c r="I488" t="s">
        <v>468</v>
      </c>
    </row>
    <row r="489" spans="1:9" ht="18.600000000000001" thickBot="1" x14ac:dyDescent="0.5">
      <c r="A489" s="86"/>
      <c r="B489" s="91" t="s">
        <v>7</v>
      </c>
      <c r="C489" s="92"/>
      <c r="D489" s="92"/>
      <c r="E489" s="19">
        <f t="shared" ref="E489" si="353">SUM(E487:E488)</f>
        <v>238.79999999999998</v>
      </c>
      <c r="F489" s="3"/>
      <c r="G489" s="28" t="s">
        <v>3</v>
      </c>
      <c r="H489" s="37">
        <f t="shared" si="351"/>
        <v>0</v>
      </c>
      <c r="I489" t="s">
        <v>465</v>
      </c>
    </row>
    <row r="490" spans="1:9" ht="18.600000000000001" thickBot="1" x14ac:dyDescent="0.5">
      <c r="A490" s="86"/>
      <c r="B490" s="7"/>
      <c r="C490" s="5" t="s">
        <v>8</v>
      </c>
      <c r="D490" s="5"/>
      <c r="E490" s="49">
        <f t="shared" ref="E490" si="354">_xlfn.SWITCH(H485,1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3137.8888571428606</v>
      </c>
      <c r="F490" s="3"/>
      <c r="G490" s="28" t="s">
        <v>16</v>
      </c>
      <c r="H490" s="37">
        <f>真実の家賃!$I$8*AD26</f>
        <v>2507.4</v>
      </c>
      <c r="I490" t="s">
        <v>465</v>
      </c>
    </row>
    <row r="491" spans="1:9" ht="18.600000000000001" thickBot="1" x14ac:dyDescent="0.5">
      <c r="A491" s="86"/>
      <c r="B491" s="8"/>
      <c r="C491" s="127" t="s">
        <v>2</v>
      </c>
      <c r="D491" s="128"/>
      <c r="E491" s="19">
        <f t="shared" ref="E491" si="355">IF(H493="",H485*15,H493)</f>
        <v>360</v>
      </c>
      <c r="F491" s="3"/>
      <c r="G491" s="56" t="s">
        <v>573</v>
      </c>
      <c r="H491" s="40" t="str">
        <f t="shared" si="351"/>
        <v/>
      </c>
      <c r="I491" t="s">
        <v>465</v>
      </c>
    </row>
    <row r="492" spans="1:9" ht="18.600000000000001" thickBot="1" x14ac:dyDescent="0.5">
      <c r="A492" s="86"/>
      <c r="B492" s="8"/>
      <c r="C492" s="129" t="s">
        <v>9</v>
      </c>
      <c r="D492" s="129"/>
      <c r="E492" s="19">
        <f t="shared" ref="E492" si="356">_xlfn.SWITCH(H485,1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492" s="3"/>
      <c r="G492" s="34" t="s">
        <v>6</v>
      </c>
      <c r="H492" s="40" t="str">
        <f t="shared" si="351"/>
        <v/>
      </c>
      <c r="I492" t="s">
        <v>465</v>
      </c>
    </row>
    <row r="493" spans="1:9" ht="18.600000000000001" thickBot="1" x14ac:dyDescent="0.5">
      <c r="A493" s="86"/>
      <c r="B493" s="8"/>
      <c r="C493" s="130" t="s">
        <v>10</v>
      </c>
      <c r="D493" s="131"/>
      <c r="E493" s="49">
        <f t="shared" ref="E493" si="357">IF(H491="",$Z$3,H485*H491)</f>
        <v>0</v>
      </c>
      <c r="F493" s="3"/>
      <c r="G493" s="28" t="s">
        <v>560</v>
      </c>
      <c r="H493" s="40" t="str">
        <f t="shared" si="351"/>
        <v/>
      </c>
      <c r="I493" t="s">
        <v>465</v>
      </c>
    </row>
    <row r="494" spans="1:9" ht="18.600000000000001" thickBot="1" x14ac:dyDescent="0.5">
      <c r="A494" s="86"/>
      <c r="B494" s="132" t="s">
        <v>11</v>
      </c>
      <c r="C494" s="126"/>
      <c r="D494" s="126"/>
      <c r="E494" s="19">
        <f t="shared" ref="E494" si="358">SUM(E490:E493)</f>
        <v>3208.1448571428591</v>
      </c>
      <c r="F494" s="3"/>
      <c r="G494" s="33" t="s">
        <v>561</v>
      </c>
      <c r="H494" s="41" t="str">
        <f t="shared" si="351"/>
        <v/>
      </c>
      <c r="I494" t="s">
        <v>465</v>
      </c>
    </row>
    <row r="495" spans="1:9" ht="18.600000000000001" thickBot="1" x14ac:dyDescent="0.5">
      <c r="A495" s="86"/>
      <c r="B495" s="7"/>
      <c r="C495" s="127" t="s">
        <v>12</v>
      </c>
      <c r="D495" s="128"/>
      <c r="E495" s="19">
        <f t="shared" ref="E495" si="359">_xlfn.SWITCH(H485,1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1250.8571428571854</v>
      </c>
      <c r="F495" s="3"/>
      <c r="G495" s="30"/>
    </row>
    <row r="496" spans="1:9" ht="18.600000000000001" thickBot="1" x14ac:dyDescent="0.5">
      <c r="A496" s="86"/>
      <c r="B496" s="8"/>
      <c r="C496" s="127" t="s">
        <v>13</v>
      </c>
      <c r="D496" s="128"/>
      <c r="E496" s="19">
        <f>IF(H494="",H490*0.05,H494)</f>
        <v>125.37</v>
      </c>
      <c r="F496" s="3"/>
      <c r="G496" s="30"/>
    </row>
    <row r="497" spans="1:9" ht="18.600000000000001" thickBot="1" x14ac:dyDescent="0.5">
      <c r="A497" s="86"/>
      <c r="B497" s="132" t="s">
        <v>14</v>
      </c>
      <c r="C497" s="126"/>
      <c r="D497" s="126"/>
      <c r="E497" s="19">
        <f t="shared" ref="E497" si="360">SUM(E495:E496)</f>
        <v>1376.2271428571853</v>
      </c>
      <c r="F497" s="3"/>
      <c r="G497" s="30"/>
    </row>
    <row r="498" spans="1:9" ht="18.600000000000001" thickBot="1" x14ac:dyDescent="0.5">
      <c r="A498" s="97" t="s">
        <v>15</v>
      </c>
      <c r="B498" s="98"/>
      <c r="C498" s="98"/>
      <c r="D498" s="99"/>
      <c r="E498" s="20">
        <f t="shared" ref="E498" si="361">E489+E494+E497</f>
        <v>4823.1720000000441</v>
      </c>
      <c r="F498" s="3"/>
    </row>
    <row r="499" spans="1:9" ht="18.600000000000001" thickBot="1" x14ac:dyDescent="0.5">
      <c r="A499" s="6"/>
      <c r="B499" s="126" t="s">
        <v>16</v>
      </c>
      <c r="C499" s="126"/>
      <c r="D499" s="126"/>
      <c r="E499" s="19">
        <f>H490</f>
        <v>2507.4</v>
      </c>
      <c r="F499" s="3"/>
    </row>
    <row r="500" spans="1:9" ht="18.600000000000001" thickBot="1" x14ac:dyDescent="0.5">
      <c r="A500" s="97" t="s">
        <v>17</v>
      </c>
      <c r="B500" s="98"/>
      <c r="C500" s="98"/>
      <c r="D500" s="99"/>
      <c r="E500" s="20">
        <f t="shared" ref="E500" si="362">E499</f>
        <v>2507.4</v>
      </c>
      <c r="F500" s="3"/>
    </row>
    <row r="501" spans="1:9" ht="18.600000000000001" thickBot="1" x14ac:dyDescent="0.5">
      <c r="A501" s="96" t="s">
        <v>18</v>
      </c>
      <c r="B501" s="96"/>
      <c r="C501" s="96"/>
      <c r="D501" s="96"/>
      <c r="E501" s="14">
        <f t="shared" ref="E501" si="363">12*H485</f>
        <v>288</v>
      </c>
      <c r="F501" s="3"/>
    </row>
    <row r="502" spans="1:9" ht="18.600000000000001" thickBot="1" x14ac:dyDescent="0.5">
      <c r="A502" s="3"/>
      <c r="B502" s="3"/>
      <c r="C502" s="3"/>
      <c r="D502" s="3"/>
      <c r="E502" s="3"/>
      <c r="F502" s="3"/>
    </row>
    <row r="503" spans="1:9" ht="18.600000000000001" thickBot="1" x14ac:dyDescent="0.5">
      <c r="A503" s="12" t="s">
        <v>19</v>
      </c>
      <c r="B503" s="12"/>
      <c r="C503" s="12"/>
      <c r="D503" s="12"/>
      <c r="E503" s="15">
        <f t="shared" ref="E503" si="364">-((E500-E498)/E501)</f>
        <v>8.0408750000001525</v>
      </c>
      <c r="F503" s="3" t="s">
        <v>20</v>
      </c>
    </row>
    <row r="504" spans="1:9" x14ac:dyDescent="0.45">
      <c r="A504" s="3"/>
      <c r="B504" s="3"/>
      <c r="C504" s="3"/>
      <c r="D504" s="3"/>
      <c r="E504" s="3"/>
      <c r="F504" s="3"/>
    </row>
    <row r="505" spans="1:9" ht="18.600000000000001" thickBot="1" x14ac:dyDescent="0.5">
      <c r="A505" s="3"/>
      <c r="B505" s="3"/>
      <c r="D505" s="3"/>
      <c r="E505" s="3"/>
      <c r="F505" s="3"/>
    </row>
    <row r="506" spans="1:9" ht="18.600000000000001" thickBot="1" x14ac:dyDescent="0.5">
      <c r="A506" s="10" t="s">
        <v>4</v>
      </c>
      <c r="B506" s="3"/>
      <c r="C506" s="3"/>
      <c r="D506" s="3"/>
      <c r="E506" s="4" t="s">
        <v>1</v>
      </c>
      <c r="F506" s="4"/>
      <c r="G506" s="38" t="s">
        <v>508</v>
      </c>
      <c r="H506" s="42">
        <f t="shared" ref="H506" si="365">H485+1</f>
        <v>25</v>
      </c>
      <c r="I506" t="s">
        <v>509</v>
      </c>
    </row>
    <row r="507" spans="1:9" ht="18.600000000000001" thickBot="1" x14ac:dyDescent="0.5">
      <c r="A507" s="133" t="s">
        <v>5</v>
      </c>
      <c r="B507" s="133"/>
      <c r="C507" s="133"/>
      <c r="D507" s="133"/>
      <c r="E507" s="11" t="s">
        <v>0</v>
      </c>
      <c r="F507" s="3"/>
      <c r="G507" s="36" t="s">
        <v>464</v>
      </c>
      <c r="H507" s="37">
        <f t="shared" ref="H507:H557" si="366">H486</f>
        <v>3980</v>
      </c>
      <c r="I507" t="s">
        <v>465</v>
      </c>
    </row>
    <row r="508" spans="1:9" ht="18.600000000000001" thickBot="1" x14ac:dyDescent="0.5">
      <c r="A508" s="85"/>
      <c r="B508" s="87"/>
      <c r="C508" s="127" t="s">
        <v>3</v>
      </c>
      <c r="D508" s="128"/>
      <c r="E508" s="29">
        <f t="shared" ref="E508" si="367">IF(H510="",0,H510)</f>
        <v>0</v>
      </c>
      <c r="F508" s="3"/>
      <c r="G508" s="25" t="s">
        <v>466</v>
      </c>
      <c r="H508" s="43">
        <f t="shared" si="366"/>
        <v>0.65</v>
      </c>
      <c r="I508" t="s">
        <v>469</v>
      </c>
    </row>
    <row r="509" spans="1:9" ht="18.600000000000001" thickBot="1" x14ac:dyDescent="0.5">
      <c r="A509" s="86"/>
      <c r="B509" s="88"/>
      <c r="C509" s="127" t="s">
        <v>6</v>
      </c>
      <c r="D509" s="128"/>
      <c r="E509" s="19">
        <f>IF(H513="",$H$7*0.06,H513)</f>
        <v>238.79999999999998</v>
      </c>
      <c r="F509" s="3"/>
      <c r="G509" s="25" t="s">
        <v>467</v>
      </c>
      <c r="H509" s="37">
        <f t="shared" si="366"/>
        <v>35</v>
      </c>
      <c r="I509" t="s">
        <v>468</v>
      </c>
    </row>
    <row r="510" spans="1:9" ht="18.600000000000001" thickBot="1" x14ac:dyDescent="0.5">
      <c r="A510" s="86"/>
      <c r="B510" s="91" t="s">
        <v>7</v>
      </c>
      <c r="C510" s="92"/>
      <c r="D510" s="92"/>
      <c r="E510" s="19">
        <f t="shared" ref="E510" si="368">SUM(E508:E509)</f>
        <v>238.79999999999998</v>
      </c>
      <c r="F510" s="3"/>
      <c r="G510" s="28" t="s">
        <v>3</v>
      </c>
      <c r="H510" s="37">
        <f t="shared" si="366"/>
        <v>0</v>
      </c>
      <c r="I510" t="s">
        <v>465</v>
      </c>
    </row>
    <row r="511" spans="1:9" ht="18.600000000000001" thickBot="1" x14ac:dyDescent="0.5">
      <c r="A511" s="86"/>
      <c r="B511" s="7"/>
      <c r="C511" s="5" t="s">
        <v>8</v>
      </c>
      <c r="D511" s="5"/>
      <c r="E511" s="49">
        <f t="shared" ref="E511" si="369">_xlfn.SWITCH(H506,1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3259.3949404761943</v>
      </c>
      <c r="F511" s="3"/>
      <c r="G511" s="28" t="s">
        <v>16</v>
      </c>
      <c r="H511" s="37">
        <f>真実の家賃!$I$8*AD27</f>
        <v>2507.4</v>
      </c>
      <c r="I511" t="s">
        <v>465</v>
      </c>
    </row>
    <row r="512" spans="1:9" ht="18.600000000000001" thickBot="1" x14ac:dyDescent="0.5">
      <c r="A512" s="86"/>
      <c r="B512" s="8"/>
      <c r="C512" s="127" t="s">
        <v>2</v>
      </c>
      <c r="D512" s="128"/>
      <c r="E512" s="19">
        <f t="shared" ref="E512" si="370">IF(H514="",H506*15,H514)</f>
        <v>375</v>
      </c>
      <c r="F512" s="3"/>
      <c r="G512" s="56" t="s">
        <v>573</v>
      </c>
      <c r="H512" s="40" t="str">
        <f t="shared" si="366"/>
        <v/>
      </c>
      <c r="I512" t="s">
        <v>465</v>
      </c>
    </row>
    <row r="513" spans="1:9" ht="18.600000000000001" thickBot="1" x14ac:dyDescent="0.5">
      <c r="A513" s="86"/>
      <c r="B513" s="8"/>
      <c r="C513" s="129" t="s">
        <v>9</v>
      </c>
      <c r="D513" s="129"/>
      <c r="E513" s="19">
        <f t="shared" ref="E513" si="371">_xlfn.SWITCH(H506,1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513" s="3"/>
      <c r="G513" s="34" t="s">
        <v>6</v>
      </c>
      <c r="H513" s="40" t="str">
        <f t="shared" si="366"/>
        <v/>
      </c>
      <c r="I513" t="s">
        <v>465</v>
      </c>
    </row>
    <row r="514" spans="1:9" ht="18.600000000000001" thickBot="1" x14ac:dyDescent="0.5">
      <c r="A514" s="86"/>
      <c r="B514" s="8"/>
      <c r="C514" s="130" t="s">
        <v>10</v>
      </c>
      <c r="D514" s="131"/>
      <c r="E514" s="49">
        <f t="shared" ref="E514" si="372">IF(H512="",$Z$3,H506*H512)</f>
        <v>0</v>
      </c>
      <c r="F514" s="3"/>
      <c r="G514" s="28" t="s">
        <v>560</v>
      </c>
      <c r="H514" s="40" t="str">
        <f t="shared" si="366"/>
        <v/>
      </c>
      <c r="I514" t="s">
        <v>465</v>
      </c>
    </row>
    <row r="515" spans="1:9" ht="18.600000000000001" thickBot="1" x14ac:dyDescent="0.5">
      <c r="A515" s="86"/>
      <c r="B515" s="132" t="s">
        <v>11</v>
      </c>
      <c r="C515" s="126"/>
      <c r="D515" s="126"/>
      <c r="E515" s="19">
        <f t="shared" ref="E515" si="373">SUM(E511:E514)</f>
        <v>3344.6509404761928</v>
      </c>
      <c r="F515" s="3"/>
      <c r="G515" s="33" t="s">
        <v>561</v>
      </c>
      <c r="H515" s="41" t="str">
        <f t="shared" si="366"/>
        <v/>
      </c>
      <c r="I515" t="s">
        <v>465</v>
      </c>
    </row>
    <row r="516" spans="1:9" ht="18.600000000000001" thickBot="1" x14ac:dyDescent="0.5">
      <c r="A516" s="86"/>
      <c r="B516" s="7"/>
      <c r="C516" s="127" t="s">
        <v>12</v>
      </c>
      <c r="D516" s="128"/>
      <c r="E516" s="19">
        <f t="shared" ref="E516" si="374">_xlfn.SWITCH(H506,1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1137.1428571428996</v>
      </c>
      <c r="F516" s="3"/>
      <c r="G516" s="30"/>
    </row>
    <row r="517" spans="1:9" ht="18.600000000000001" thickBot="1" x14ac:dyDescent="0.5">
      <c r="A517" s="86"/>
      <c r="B517" s="8"/>
      <c r="C517" s="127" t="s">
        <v>13</v>
      </c>
      <c r="D517" s="128"/>
      <c r="E517" s="19">
        <f>IF(H515="",H511*0.05,H515)</f>
        <v>125.37</v>
      </c>
      <c r="F517" s="3"/>
      <c r="G517" s="30"/>
    </row>
    <row r="518" spans="1:9" ht="18.600000000000001" thickBot="1" x14ac:dyDescent="0.5">
      <c r="A518" s="86"/>
      <c r="B518" s="132" t="s">
        <v>14</v>
      </c>
      <c r="C518" s="126"/>
      <c r="D518" s="126"/>
      <c r="E518" s="19">
        <f t="shared" ref="E518" si="375">SUM(E516:E517)</f>
        <v>1262.5128571428995</v>
      </c>
      <c r="F518" s="3"/>
      <c r="G518" s="30"/>
    </row>
    <row r="519" spans="1:9" ht="18.600000000000001" thickBot="1" x14ac:dyDescent="0.5">
      <c r="A519" s="97" t="s">
        <v>15</v>
      </c>
      <c r="B519" s="98"/>
      <c r="C519" s="98"/>
      <c r="D519" s="99"/>
      <c r="E519" s="20">
        <f t="shared" ref="E519" si="376">E510+E515+E518</f>
        <v>4845.9637976190925</v>
      </c>
      <c r="F519" s="3"/>
    </row>
    <row r="520" spans="1:9" ht="18.600000000000001" thickBot="1" x14ac:dyDescent="0.5">
      <c r="A520" s="6"/>
      <c r="B520" s="126" t="s">
        <v>16</v>
      </c>
      <c r="C520" s="126"/>
      <c r="D520" s="126"/>
      <c r="E520" s="19">
        <f t="shared" ref="E520" si="377">H511</f>
        <v>2507.4</v>
      </c>
      <c r="F520" s="3"/>
    </row>
    <row r="521" spans="1:9" ht="18.600000000000001" thickBot="1" x14ac:dyDescent="0.5">
      <c r="A521" s="97" t="s">
        <v>17</v>
      </c>
      <c r="B521" s="98"/>
      <c r="C521" s="98"/>
      <c r="D521" s="99"/>
      <c r="E521" s="20">
        <f t="shared" ref="E521" si="378">E520</f>
        <v>2507.4</v>
      </c>
      <c r="F521" s="3"/>
    </row>
    <row r="522" spans="1:9" ht="18.600000000000001" thickBot="1" x14ac:dyDescent="0.5">
      <c r="A522" s="96" t="s">
        <v>18</v>
      </c>
      <c r="B522" s="96"/>
      <c r="C522" s="96"/>
      <c r="D522" s="96"/>
      <c r="E522" s="14">
        <f t="shared" ref="E522" si="379">12*H506</f>
        <v>300</v>
      </c>
      <c r="F522" s="3"/>
    </row>
    <row r="523" spans="1:9" ht="18.600000000000001" thickBot="1" x14ac:dyDescent="0.5">
      <c r="A523" s="3"/>
      <c r="B523" s="3"/>
      <c r="C523" s="3"/>
      <c r="D523" s="3"/>
      <c r="E523" s="3"/>
      <c r="F523" s="3"/>
    </row>
    <row r="524" spans="1:9" ht="18.600000000000001" thickBot="1" x14ac:dyDescent="0.5">
      <c r="A524" s="12" t="s">
        <v>19</v>
      </c>
      <c r="B524" s="12"/>
      <c r="C524" s="12"/>
      <c r="D524" s="12"/>
      <c r="E524" s="15">
        <f t="shared" ref="E524" si="380">-((E521-E519)/E522)</f>
        <v>7.7952126587303079</v>
      </c>
      <c r="F524" s="3" t="s">
        <v>20</v>
      </c>
    </row>
    <row r="525" spans="1:9" x14ac:dyDescent="0.45">
      <c r="A525" s="3"/>
      <c r="B525" s="3"/>
      <c r="C525" s="3"/>
      <c r="D525" s="3"/>
      <c r="E525" s="3"/>
      <c r="F525" s="3"/>
    </row>
    <row r="526" spans="1:9" ht="18.600000000000001" thickBot="1" x14ac:dyDescent="0.5">
      <c r="A526" s="3"/>
      <c r="B526" s="3"/>
      <c r="D526" s="3"/>
      <c r="E526" s="3"/>
      <c r="F526" s="3"/>
    </row>
    <row r="527" spans="1:9" ht="18.600000000000001" thickBot="1" x14ac:dyDescent="0.5">
      <c r="A527" s="10" t="s">
        <v>4</v>
      </c>
      <c r="B527" s="3"/>
      <c r="C527" s="3"/>
      <c r="D527" s="3"/>
      <c r="E527" s="4" t="s">
        <v>1</v>
      </c>
      <c r="F527" s="4"/>
      <c r="G527" s="38" t="s">
        <v>508</v>
      </c>
      <c r="H527" s="42">
        <f t="shared" ref="H527" si="381">H506+1</f>
        <v>26</v>
      </c>
      <c r="I527" t="s">
        <v>509</v>
      </c>
    </row>
    <row r="528" spans="1:9" ht="18.600000000000001" thickBot="1" x14ac:dyDescent="0.5">
      <c r="A528" s="133" t="s">
        <v>5</v>
      </c>
      <c r="B528" s="133"/>
      <c r="C528" s="133"/>
      <c r="D528" s="133"/>
      <c r="E528" s="11" t="s">
        <v>0</v>
      </c>
      <c r="F528" s="3"/>
      <c r="G528" s="36" t="s">
        <v>464</v>
      </c>
      <c r="H528" s="37">
        <f t="shared" ref="H528:H533" si="382">H507</f>
        <v>3980</v>
      </c>
      <c r="I528" t="s">
        <v>465</v>
      </c>
    </row>
    <row r="529" spans="1:9" ht="18.600000000000001" thickBot="1" x14ac:dyDescent="0.5">
      <c r="A529" s="85"/>
      <c r="B529" s="87"/>
      <c r="C529" s="127" t="s">
        <v>3</v>
      </c>
      <c r="D529" s="128"/>
      <c r="E529" s="29">
        <f t="shared" ref="E529" si="383">IF(H531="",0,H531)</f>
        <v>0</v>
      </c>
      <c r="F529" s="3"/>
      <c r="G529" s="25" t="s">
        <v>466</v>
      </c>
      <c r="H529" s="43">
        <f t="shared" si="382"/>
        <v>0.65</v>
      </c>
      <c r="I529" t="s">
        <v>469</v>
      </c>
    </row>
    <row r="530" spans="1:9" ht="18.600000000000001" thickBot="1" x14ac:dyDescent="0.5">
      <c r="A530" s="86"/>
      <c r="B530" s="88"/>
      <c r="C530" s="127" t="s">
        <v>6</v>
      </c>
      <c r="D530" s="128"/>
      <c r="E530" s="19">
        <f>IF(H534="",$H$7*0.06,H534)</f>
        <v>238.79999999999998</v>
      </c>
      <c r="F530" s="3"/>
      <c r="G530" s="25" t="s">
        <v>467</v>
      </c>
      <c r="H530" s="37">
        <f t="shared" si="382"/>
        <v>35</v>
      </c>
      <c r="I530" t="s">
        <v>468</v>
      </c>
    </row>
    <row r="531" spans="1:9" ht="18.600000000000001" thickBot="1" x14ac:dyDescent="0.5">
      <c r="A531" s="86"/>
      <c r="B531" s="91" t="s">
        <v>7</v>
      </c>
      <c r="C531" s="92"/>
      <c r="D531" s="92"/>
      <c r="E531" s="19">
        <f t="shared" ref="E531" si="384">SUM(E529:E530)</f>
        <v>238.79999999999998</v>
      </c>
      <c r="F531" s="3"/>
      <c r="G531" s="28" t="s">
        <v>3</v>
      </c>
      <c r="H531" s="37">
        <f t="shared" si="382"/>
        <v>0</v>
      </c>
      <c r="I531" t="s">
        <v>465</v>
      </c>
    </row>
    <row r="532" spans="1:9" ht="18.600000000000001" thickBot="1" x14ac:dyDescent="0.5">
      <c r="A532" s="86"/>
      <c r="B532" s="7"/>
      <c r="C532" s="5" t="s">
        <v>8</v>
      </c>
      <c r="D532" s="5"/>
      <c r="E532" s="49">
        <f t="shared" ref="E532" si="385">_xlfn.SWITCH(H527,1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3380.1618809523852</v>
      </c>
      <c r="F532" s="3"/>
      <c r="G532" s="28" t="s">
        <v>16</v>
      </c>
      <c r="H532" s="37">
        <f>真実の家賃!$I$8*AD28</f>
        <v>2507.4</v>
      </c>
      <c r="I532" t="s">
        <v>465</v>
      </c>
    </row>
    <row r="533" spans="1:9" ht="18.600000000000001" thickBot="1" x14ac:dyDescent="0.5">
      <c r="A533" s="86"/>
      <c r="B533" s="8"/>
      <c r="C533" s="127" t="s">
        <v>2</v>
      </c>
      <c r="D533" s="128"/>
      <c r="E533" s="19">
        <f t="shared" ref="E533" si="386">IF(H535="",H527*15,H535)</f>
        <v>390</v>
      </c>
      <c r="F533" s="3"/>
      <c r="G533" s="56" t="s">
        <v>573</v>
      </c>
      <c r="H533" s="40" t="str">
        <f t="shared" si="382"/>
        <v/>
      </c>
      <c r="I533" t="s">
        <v>465</v>
      </c>
    </row>
    <row r="534" spans="1:9" ht="18.600000000000001" thickBot="1" x14ac:dyDescent="0.5">
      <c r="A534" s="86"/>
      <c r="B534" s="8"/>
      <c r="C534" s="129" t="s">
        <v>9</v>
      </c>
      <c r="D534" s="129"/>
      <c r="E534" s="19">
        <f t="shared" ref="E534" si="387">_xlfn.SWITCH(H527,1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534" s="3"/>
      <c r="G534" s="34" t="s">
        <v>6</v>
      </c>
      <c r="H534" s="40" t="str">
        <f t="shared" si="351"/>
        <v/>
      </c>
      <c r="I534" t="s">
        <v>465</v>
      </c>
    </row>
    <row r="535" spans="1:9" ht="18.600000000000001" thickBot="1" x14ac:dyDescent="0.5">
      <c r="A535" s="86"/>
      <c r="B535" s="8"/>
      <c r="C535" s="130" t="s">
        <v>10</v>
      </c>
      <c r="D535" s="131"/>
      <c r="E535" s="49">
        <f t="shared" ref="E535" si="388">IF(H533="",$Z$3,H527*H533)</f>
        <v>0</v>
      </c>
      <c r="F535" s="3"/>
      <c r="G535" s="28" t="s">
        <v>560</v>
      </c>
      <c r="H535" s="40" t="str">
        <f t="shared" si="351"/>
        <v/>
      </c>
      <c r="I535" t="s">
        <v>465</v>
      </c>
    </row>
    <row r="536" spans="1:9" ht="18.600000000000001" thickBot="1" x14ac:dyDescent="0.5">
      <c r="A536" s="86"/>
      <c r="B536" s="132" t="s">
        <v>11</v>
      </c>
      <c r="C536" s="126"/>
      <c r="D536" s="126"/>
      <c r="E536" s="19">
        <f t="shared" ref="E536" si="389">SUM(E532:E535)</f>
        <v>3480.4178809523837</v>
      </c>
      <c r="F536" s="3"/>
      <c r="G536" s="33" t="s">
        <v>561</v>
      </c>
      <c r="H536" s="41" t="str">
        <f t="shared" si="351"/>
        <v/>
      </c>
      <c r="I536" t="s">
        <v>465</v>
      </c>
    </row>
    <row r="537" spans="1:9" ht="18.600000000000001" thickBot="1" x14ac:dyDescent="0.5">
      <c r="A537" s="86"/>
      <c r="B537" s="7"/>
      <c r="C537" s="127" t="s">
        <v>12</v>
      </c>
      <c r="D537" s="128"/>
      <c r="E537" s="19">
        <f t="shared" ref="E537" si="390">_xlfn.SWITCH(H527,1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1023.4285714286137</v>
      </c>
      <c r="F537" s="3"/>
      <c r="G537" s="30"/>
    </row>
    <row r="538" spans="1:9" ht="18.600000000000001" thickBot="1" x14ac:dyDescent="0.5">
      <c r="A538" s="86"/>
      <c r="B538" s="8"/>
      <c r="C538" s="127" t="s">
        <v>13</v>
      </c>
      <c r="D538" s="128"/>
      <c r="E538" s="19">
        <f>IF(H536="",H532*0.05,H536)</f>
        <v>125.37</v>
      </c>
      <c r="F538" s="3"/>
      <c r="G538" s="30"/>
    </row>
    <row r="539" spans="1:9" ht="18.600000000000001" thickBot="1" x14ac:dyDescent="0.5">
      <c r="A539" s="86"/>
      <c r="B539" s="132" t="s">
        <v>14</v>
      </c>
      <c r="C539" s="126"/>
      <c r="D539" s="126"/>
      <c r="E539" s="19">
        <f t="shared" ref="E539" si="391">SUM(E537:E538)</f>
        <v>1148.7985714286137</v>
      </c>
      <c r="F539" s="3"/>
      <c r="G539" s="30"/>
    </row>
    <row r="540" spans="1:9" ht="18.600000000000001" thickBot="1" x14ac:dyDescent="0.5">
      <c r="A540" s="97" t="s">
        <v>15</v>
      </c>
      <c r="B540" s="98"/>
      <c r="C540" s="98"/>
      <c r="D540" s="99"/>
      <c r="E540" s="20">
        <f t="shared" ref="E540" si="392">E531+E536+E539</f>
        <v>4868.0164523809981</v>
      </c>
      <c r="F540" s="3"/>
    </row>
    <row r="541" spans="1:9" ht="18.600000000000001" thickBot="1" x14ac:dyDescent="0.5">
      <c r="A541" s="6"/>
      <c r="B541" s="126" t="s">
        <v>16</v>
      </c>
      <c r="C541" s="126"/>
      <c r="D541" s="126"/>
      <c r="E541" s="19">
        <f t="shared" ref="E541" si="393">H532</f>
        <v>2507.4</v>
      </c>
      <c r="F541" s="3"/>
    </row>
    <row r="542" spans="1:9" ht="18.600000000000001" thickBot="1" x14ac:dyDescent="0.5">
      <c r="A542" s="97" t="s">
        <v>17</v>
      </c>
      <c r="B542" s="98"/>
      <c r="C542" s="98"/>
      <c r="D542" s="99"/>
      <c r="E542" s="20">
        <f t="shared" ref="E542" si="394">E541</f>
        <v>2507.4</v>
      </c>
      <c r="F542" s="3"/>
    </row>
    <row r="543" spans="1:9" ht="18.600000000000001" thickBot="1" x14ac:dyDescent="0.5">
      <c r="A543" s="96" t="s">
        <v>18</v>
      </c>
      <c r="B543" s="96"/>
      <c r="C543" s="96"/>
      <c r="D543" s="96"/>
      <c r="E543" s="14">
        <f t="shared" ref="E543" si="395">12*H527</f>
        <v>312</v>
      </c>
      <c r="F543" s="3"/>
    </row>
    <row r="544" spans="1:9" ht="18.600000000000001" thickBot="1" x14ac:dyDescent="0.5">
      <c r="A544" s="3"/>
      <c r="B544" s="3"/>
      <c r="C544" s="3"/>
      <c r="D544" s="3"/>
      <c r="E544" s="3"/>
      <c r="F544" s="3"/>
    </row>
    <row r="545" spans="1:9" ht="18.600000000000001" thickBot="1" x14ac:dyDescent="0.5">
      <c r="A545" s="12" t="s">
        <v>19</v>
      </c>
      <c r="B545" s="12"/>
      <c r="C545" s="12"/>
      <c r="D545" s="12"/>
      <c r="E545" s="15">
        <f t="shared" ref="E545" si="396">-((E542-E540)/E543)</f>
        <v>7.566078373016019</v>
      </c>
      <c r="F545" s="3" t="s">
        <v>20</v>
      </c>
    </row>
    <row r="546" spans="1:9" x14ac:dyDescent="0.45">
      <c r="A546" s="3"/>
      <c r="B546" s="3"/>
      <c r="C546" s="3"/>
      <c r="D546" s="3"/>
      <c r="E546" s="3"/>
      <c r="F546" s="3"/>
    </row>
    <row r="547" spans="1:9" ht="18.600000000000001" thickBot="1" x14ac:dyDescent="0.5">
      <c r="A547" s="3"/>
      <c r="B547" s="3"/>
      <c r="D547" s="3"/>
      <c r="E547" s="3"/>
      <c r="F547" s="3"/>
    </row>
    <row r="548" spans="1:9" ht="18.600000000000001" thickBot="1" x14ac:dyDescent="0.5">
      <c r="A548" s="10" t="s">
        <v>4</v>
      </c>
      <c r="B548" s="3"/>
      <c r="C548" s="3"/>
      <c r="D548" s="3"/>
      <c r="E548" s="4" t="s">
        <v>1</v>
      </c>
      <c r="F548" s="4"/>
      <c r="G548" s="38" t="s">
        <v>508</v>
      </c>
      <c r="H548" s="42">
        <f t="shared" ref="H548" si="397">H527+1</f>
        <v>27</v>
      </c>
      <c r="I548" t="s">
        <v>509</v>
      </c>
    </row>
    <row r="549" spans="1:9" ht="18.600000000000001" thickBot="1" x14ac:dyDescent="0.5">
      <c r="A549" s="133" t="s">
        <v>5</v>
      </c>
      <c r="B549" s="133"/>
      <c r="C549" s="133"/>
      <c r="D549" s="133"/>
      <c r="E549" s="11" t="s">
        <v>0</v>
      </c>
      <c r="F549" s="3"/>
      <c r="G549" s="36" t="s">
        <v>464</v>
      </c>
      <c r="H549" s="37">
        <f t="shared" ref="H549:H554" si="398">H528</f>
        <v>3980</v>
      </c>
      <c r="I549" t="s">
        <v>465</v>
      </c>
    </row>
    <row r="550" spans="1:9" ht="18.600000000000001" thickBot="1" x14ac:dyDescent="0.5">
      <c r="A550" s="85"/>
      <c r="B550" s="87"/>
      <c r="C550" s="127" t="s">
        <v>3</v>
      </c>
      <c r="D550" s="128"/>
      <c r="E550" s="29">
        <f t="shared" ref="E550" si="399">IF(H552="",0,H552)</f>
        <v>0</v>
      </c>
      <c r="F550" s="3"/>
      <c r="G550" s="25" t="s">
        <v>466</v>
      </c>
      <c r="H550" s="43">
        <f t="shared" si="398"/>
        <v>0.65</v>
      </c>
      <c r="I550" t="s">
        <v>469</v>
      </c>
    </row>
    <row r="551" spans="1:9" ht="18.600000000000001" thickBot="1" x14ac:dyDescent="0.5">
      <c r="A551" s="86"/>
      <c r="B551" s="88"/>
      <c r="C551" s="127" t="s">
        <v>6</v>
      </c>
      <c r="D551" s="128"/>
      <c r="E551" s="19">
        <f>IF(H555="",$H$7*0.06,H555)</f>
        <v>238.79999999999998</v>
      </c>
      <c r="F551" s="3"/>
      <c r="G551" s="25" t="s">
        <v>467</v>
      </c>
      <c r="H551" s="37">
        <f t="shared" si="398"/>
        <v>35</v>
      </c>
      <c r="I551" t="s">
        <v>468</v>
      </c>
    </row>
    <row r="552" spans="1:9" ht="18.600000000000001" thickBot="1" x14ac:dyDescent="0.5">
      <c r="A552" s="86"/>
      <c r="B552" s="91" t="s">
        <v>7</v>
      </c>
      <c r="C552" s="92"/>
      <c r="D552" s="92"/>
      <c r="E552" s="19">
        <f t="shared" ref="E552" si="400">SUM(E550:E551)</f>
        <v>238.79999999999998</v>
      </c>
      <c r="F552" s="3"/>
      <c r="G552" s="28" t="s">
        <v>3</v>
      </c>
      <c r="H552" s="37">
        <f t="shared" si="398"/>
        <v>0</v>
      </c>
      <c r="I552" t="s">
        <v>465</v>
      </c>
    </row>
    <row r="553" spans="1:9" ht="18.600000000000001" thickBot="1" x14ac:dyDescent="0.5">
      <c r="A553" s="86"/>
      <c r="B553" s="7"/>
      <c r="C553" s="5" t="s">
        <v>8</v>
      </c>
      <c r="D553" s="5"/>
      <c r="E553" s="49">
        <f t="shared" ref="E553" si="401">_xlfn.SWITCH(H548,1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3500.189678571433</v>
      </c>
      <c r="F553" s="3"/>
      <c r="G553" s="28" t="s">
        <v>16</v>
      </c>
      <c r="H553" s="37">
        <f>真実の家賃!$I$8*AD29</f>
        <v>2507.4</v>
      </c>
      <c r="I553" t="s">
        <v>465</v>
      </c>
    </row>
    <row r="554" spans="1:9" ht="18.600000000000001" thickBot="1" x14ac:dyDescent="0.5">
      <c r="A554" s="86"/>
      <c r="B554" s="8"/>
      <c r="C554" s="127" t="s">
        <v>2</v>
      </c>
      <c r="D554" s="128"/>
      <c r="E554" s="19">
        <f t="shared" ref="E554" si="402">IF(H556="",H548*15,H556)</f>
        <v>405</v>
      </c>
      <c r="F554" s="3"/>
      <c r="G554" s="56" t="s">
        <v>573</v>
      </c>
      <c r="H554" s="40" t="str">
        <f t="shared" si="398"/>
        <v/>
      </c>
      <c r="I554" t="s">
        <v>465</v>
      </c>
    </row>
    <row r="555" spans="1:9" ht="18.600000000000001" thickBot="1" x14ac:dyDescent="0.5">
      <c r="A555" s="86"/>
      <c r="B555" s="8"/>
      <c r="C555" s="129" t="s">
        <v>9</v>
      </c>
      <c r="D555" s="129"/>
      <c r="E555" s="19">
        <f t="shared" ref="E555" si="403">_xlfn.SWITCH(H548,1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555" s="3"/>
      <c r="G555" s="34" t="s">
        <v>6</v>
      </c>
      <c r="H555" s="40" t="str">
        <f t="shared" si="366"/>
        <v/>
      </c>
      <c r="I555" t="s">
        <v>465</v>
      </c>
    </row>
    <row r="556" spans="1:9" ht="18.600000000000001" thickBot="1" x14ac:dyDescent="0.5">
      <c r="A556" s="86"/>
      <c r="B556" s="8"/>
      <c r="C556" s="130" t="s">
        <v>10</v>
      </c>
      <c r="D556" s="131"/>
      <c r="E556" s="49">
        <f t="shared" ref="E556" si="404">IF(H554="",$Z$3,H548*H554)</f>
        <v>0</v>
      </c>
      <c r="F556" s="3"/>
      <c r="G556" s="28" t="s">
        <v>560</v>
      </c>
      <c r="H556" s="40" t="str">
        <f t="shared" si="366"/>
        <v/>
      </c>
      <c r="I556" t="s">
        <v>465</v>
      </c>
    </row>
    <row r="557" spans="1:9" ht="18.600000000000001" thickBot="1" x14ac:dyDescent="0.5">
      <c r="A557" s="86"/>
      <c r="B557" s="132" t="s">
        <v>11</v>
      </c>
      <c r="C557" s="126"/>
      <c r="D557" s="126"/>
      <c r="E557" s="19">
        <f t="shared" ref="E557" si="405">SUM(E553:E556)</f>
        <v>3615.4456785714319</v>
      </c>
      <c r="F557" s="3"/>
      <c r="G557" s="33" t="s">
        <v>561</v>
      </c>
      <c r="H557" s="41" t="str">
        <f t="shared" si="366"/>
        <v/>
      </c>
      <c r="I557" t="s">
        <v>465</v>
      </c>
    </row>
    <row r="558" spans="1:9" ht="18.600000000000001" thickBot="1" x14ac:dyDescent="0.5">
      <c r="A558" s="86"/>
      <c r="B558" s="7"/>
      <c r="C558" s="127" t="s">
        <v>12</v>
      </c>
      <c r="D558" s="128"/>
      <c r="E558" s="19">
        <f t="shared" ref="E558" si="406">_xlfn.SWITCH(H548,1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909.71428571432796</v>
      </c>
      <c r="F558" s="3"/>
      <c r="G558" s="30"/>
    </row>
    <row r="559" spans="1:9" ht="18.600000000000001" thickBot="1" x14ac:dyDescent="0.5">
      <c r="A559" s="86"/>
      <c r="B559" s="8"/>
      <c r="C559" s="127" t="s">
        <v>13</v>
      </c>
      <c r="D559" s="128"/>
      <c r="E559" s="19">
        <f>IF(H557="",H553*0.05,H557)</f>
        <v>125.37</v>
      </c>
      <c r="F559" s="3"/>
      <c r="G559" s="30"/>
    </row>
    <row r="560" spans="1:9" ht="18.600000000000001" thickBot="1" x14ac:dyDescent="0.5">
      <c r="A560" s="86"/>
      <c r="B560" s="132" t="s">
        <v>14</v>
      </c>
      <c r="C560" s="126"/>
      <c r="D560" s="126"/>
      <c r="E560" s="19">
        <f t="shared" ref="E560" si="407">SUM(E558:E559)</f>
        <v>1035.084285714328</v>
      </c>
      <c r="F560" s="3"/>
      <c r="G560" s="30"/>
    </row>
    <row r="561" spans="1:9" ht="18.600000000000001" thickBot="1" x14ac:dyDescent="0.5">
      <c r="A561" s="97" t="s">
        <v>15</v>
      </c>
      <c r="B561" s="98"/>
      <c r="C561" s="98"/>
      <c r="D561" s="99"/>
      <c r="E561" s="20">
        <f t="shared" ref="E561" si="408">E552+E557+E560</f>
        <v>4889.3299642857601</v>
      </c>
      <c r="F561" s="3"/>
    </row>
    <row r="562" spans="1:9" ht="18.600000000000001" thickBot="1" x14ac:dyDescent="0.5">
      <c r="A562" s="6"/>
      <c r="B562" s="126" t="s">
        <v>16</v>
      </c>
      <c r="C562" s="126"/>
      <c r="D562" s="126"/>
      <c r="E562" s="19">
        <f t="shared" ref="E562" si="409">H553</f>
        <v>2507.4</v>
      </c>
      <c r="F562" s="3"/>
    </row>
    <row r="563" spans="1:9" ht="18.600000000000001" thickBot="1" x14ac:dyDescent="0.5">
      <c r="A563" s="97" t="s">
        <v>17</v>
      </c>
      <c r="B563" s="98"/>
      <c r="C563" s="98"/>
      <c r="D563" s="99"/>
      <c r="E563" s="20">
        <f t="shared" ref="E563" si="410">E562</f>
        <v>2507.4</v>
      </c>
      <c r="F563" s="3"/>
    </row>
    <row r="564" spans="1:9" ht="18.600000000000001" thickBot="1" x14ac:dyDescent="0.5">
      <c r="A564" s="96" t="s">
        <v>18</v>
      </c>
      <c r="B564" s="96"/>
      <c r="C564" s="96"/>
      <c r="D564" s="96"/>
      <c r="E564" s="14">
        <f t="shared" ref="E564" si="411">12*H548</f>
        <v>324</v>
      </c>
      <c r="F564" s="3"/>
    </row>
    <row r="565" spans="1:9" ht="18.600000000000001" thickBot="1" x14ac:dyDescent="0.5">
      <c r="A565" s="3"/>
      <c r="B565" s="3"/>
      <c r="C565" s="3"/>
      <c r="D565" s="3"/>
      <c r="E565" s="3"/>
      <c r="F565" s="3"/>
    </row>
    <row r="566" spans="1:9" ht="18.600000000000001" thickBot="1" x14ac:dyDescent="0.5">
      <c r="A566" s="12" t="s">
        <v>19</v>
      </c>
      <c r="B566" s="12"/>
      <c r="C566" s="12"/>
      <c r="D566" s="12"/>
      <c r="E566" s="15">
        <f t="shared" ref="E566" si="412">-((E563-E561)/E564)</f>
        <v>7.3516356922400004</v>
      </c>
      <c r="F566" s="3" t="s">
        <v>20</v>
      </c>
    </row>
    <row r="567" spans="1:9" x14ac:dyDescent="0.45">
      <c r="A567" s="3"/>
      <c r="B567" s="3"/>
      <c r="C567" s="3"/>
      <c r="D567" s="3"/>
      <c r="E567" s="3"/>
      <c r="F567" s="3"/>
    </row>
    <row r="568" spans="1:9" ht="18.600000000000001" thickBot="1" x14ac:dyDescent="0.5">
      <c r="A568" s="3"/>
      <c r="B568" s="3"/>
      <c r="D568" s="3"/>
      <c r="E568" s="3"/>
      <c r="F568" s="3"/>
    </row>
    <row r="569" spans="1:9" ht="18.600000000000001" thickBot="1" x14ac:dyDescent="0.5">
      <c r="A569" s="10" t="s">
        <v>4</v>
      </c>
      <c r="B569" s="3"/>
      <c r="C569" s="3"/>
      <c r="D569" s="3"/>
      <c r="E569" s="4" t="s">
        <v>1</v>
      </c>
      <c r="F569" s="4"/>
      <c r="G569" s="38" t="s">
        <v>508</v>
      </c>
      <c r="H569" s="42">
        <f t="shared" ref="H569" si="413">H548+1</f>
        <v>28</v>
      </c>
      <c r="I569" t="s">
        <v>509</v>
      </c>
    </row>
    <row r="570" spans="1:9" ht="18.600000000000001" thickBot="1" x14ac:dyDescent="0.5">
      <c r="A570" s="133" t="s">
        <v>5</v>
      </c>
      <c r="B570" s="133"/>
      <c r="C570" s="133"/>
      <c r="D570" s="133"/>
      <c r="E570" s="11" t="s">
        <v>0</v>
      </c>
      <c r="F570" s="3"/>
      <c r="G570" s="36" t="s">
        <v>464</v>
      </c>
      <c r="H570" s="37">
        <f t="shared" ref="H570:H620" si="414">H549</f>
        <v>3980</v>
      </c>
      <c r="I570" t="s">
        <v>465</v>
      </c>
    </row>
    <row r="571" spans="1:9" ht="18.600000000000001" thickBot="1" x14ac:dyDescent="0.5">
      <c r="A571" s="85"/>
      <c r="B571" s="87"/>
      <c r="C571" s="127" t="s">
        <v>3</v>
      </c>
      <c r="D571" s="128"/>
      <c r="E571" s="29">
        <f t="shared" ref="E571" si="415">IF(H573="",0,H573)</f>
        <v>0</v>
      </c>
      <c r="F571" s="3"/>
      <c r="G571" s="25" t="s">
        <v>466</v>
      </c>
      <c r="H571" s="43">
        <f t="shared" si="414"/>
        <v>0.65</v>
      </c>
      <c r="I571" t="s">
        <v>469</v>
      </c>
    </row>
    <row r="572" spans="1:9" ht="18.600000000000001" thickBot="1" x14ac:dyDescent="0.5">
      <c r="A572" s="86"/>
      <c r="B572" s="88"/>
      <c r="C572" s="127" t="s">
        <v>6</v>
      </c>
      <c r="D572" s="128"/>
      <c r="E572" s="19">
        <f>IF(H576="",$H$7*0.06,H576)</f>
        <v>238.79999999999998</v>
      </c>
      <c r="F572" s="3"/>
      <c r="G572" s="25" t="s">
        <v>467</v>
      </c>
      <c r="H572" s="37">
        <f t="shared" si="414"/>
        <v>35</v>
      </c>
      <c r="I572" t="s">
        <v>468</v>
      </c>
    </row>
    <row r="573" spans="1:9" ht="18.600000000000001" thickBot="1" x14ac:dyDescent="0.5">
      <c r="A573" s="86"/>
      <c r="B573" s="91" t="s">
        <v>7</v>
      </c>
      <c r="C573" s="92"/>
      <c r="D573" s="92"/>
      <c r="E573" s="19">
        <f t="shared" ref="E573" si="416">SUM(E571:E572)</f>
        <v>238.79999999999998</v>
      </c>
      <c r="F573" s="3"/>
      <c r="G573" s="28" t="s">
        <v>3</v>
      </c>
      <c r="H573" s="37">
        <f t="shared" si="414"/>
        <v>0</v>
      </c>
      <c r="I573" t="s">
        <v>465</v>
      </c>
    </row>
    <row r="574" spans="1:9" ht="18.600000000000001" thickBot="1" x14ac:dyDescent="0.5">
      <c r="A574" s="86"/>
      <c r="B574" s="7"/>
      <c r="C574" s="5" t="s">
        <v>8</v>
      </c>
      <c r="D574" s="5"/>
      <c r="E574" s="49">
        <f t="shared" ref="E574" si="417">_xlfn.SWITCH(H569,1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3619.478333333338</v>
      </c>
      <c r="F574" s="3"/>
      <c r="G574" s="28" t="s">
        <v>16</v>
      </c>
      <c r="H574" s="37">
        <f>真実の家賃!$I$8*AD30</f>
        <v>2507.4</v>
      </c>
      <c r="I574" t="s">
        <v>465</v>
      </c>
    </row>
    <row r="575" spans="1:9" ht="18.600000000000001" thickBot="1" x14ac:dyDescent="0.5">
      <c r="A575" s="86"/>
      <c r="B575" s="8"/>
      <c r="C575" s="127" t="s">
        <v>2</v>
      </c>
      <c r="D575" s="128"/>
      <c r="E575" s="19">
        <f t="shared" ref="E575" si="418">IF(H577="",H569*15,H577)</f>
        <v>420</v>
      </c>
      <c r="F575" s="3"/>
      <c r="G575" s="56" t="s">
        <v>573</v>
      </c>
      <c r="H575" s="40" t="str">
        <f t="shared" si="414"/>
        <v/>
      </c>
      <c r="I575" t="s">
        <v>465</v>
      </c>
    </row>
    <row r="576" spans="1:9" ht="18.600000000000001" thickBot="1" x14ac:dyDescent="0.5">
      <c r="A576" s="86"/>
      <c r="B576" s="8"/>
      <c r="C576" s="129" t="s">
        <v>9</v>
      </c>
      <c r="D576" s="129"/>
      <c r="E576" s="19">
        <f t="shared" ref="E576" si="419">_xlfn.SWITCH(H569,1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576" s="3"/>
      <c r="G576" s="34" t="s">
        <v>6</v>
      </c>
      <c r="H576" s="40" t="str">
        <f t="shared" si="414"/>
        <v/>
      </c>
      <c r="I576" t="s">
        <v>465</v>
      </c>
    </row>
    <row r="577" spans="1:9" ht="18.600000000000001" thickBot="1" x14ac:dyDescent="0.5">
      <c r="A577" s="86"/>
      <c r="B577" s="8"/>
      <c r="C577" s="130" t="s">
        <v>10</v>
      </c>
      <c r="D577" s="131"/>
      <c r="E577" s="49">
        <f t="shared" ref="E577" si="420">IF(H575="",$Z$3,H569*H575)</f>
        <v>0</v>
      </c>
      <c r="F577" s="3"/>
      <c r="G577" s="28" t="s">
        <v>560</v>
      </c>
      <c r="H577" s="40" t="str">
        <f t="shared" si="414"/>
        <v/>
      </c>
      <c r="I577" t="s">
        <v>465</v>
      </c>
    </row>
    <row r="578" spans="1:9" ht="18.600000000000001" thickBot="1" x14ac:dyDescent="0.5">
      <c r="A578" s="86"/>
      <c r="B578" s="132" t="s">
        <v>11</v>
      </c>
      <c r="C578" s="126"/>
      <c r="D578" s="126"/>
      <c r="E578" s="19">
        <f t="shared" ref="E578" si="421">SUM(E574:E577)</f>
        <v>3749.7343333333365</v>
      </c>
      <c r="F578" s="3"/>
      <c r="G578" s="33" t="s">
        <v>561</v>
      </c>
      <c r="H578" s="41" t="str">
        <f t="shared" si="414"/>
        <v/>
      </c>
      <c r="I578" t="s">
        <v>465</v>
      </c>
    </row>
    <row r="579" spans="1:9" ht="18.600000000000001" thickBot="1" x14ac:dyDescent="0.5">
      <c r="A579" s="86"/>
      <c r="B579" s="7"/>
      <c r="C579" s="127" t="s">
        <v>12</v>
      </c>
      <c r="D579" s="128"/>
      <c r="E579" s="19">
        <f t="shared" ref="E579" si="422">_xlfn.SWITCH(H569,1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796.00000000004206</v>
      </c>
      <c r="F579" s="3"/>
      <c r="G579" s="30"/>
    </row>
    <row r="580" spans="1:9" ht="18.600000000000001" thickBot="1" x14ac:dyDescent="0.5">
      <c r="A580" s="86"/>
      <c r="B580" s="8"/>
      <c r="C580" s="127" t="s">
        <v>13</v>
      </c>
      <c r="D580" s="128"/>
      <c r="E580" s="19">
        <f>IF(H578="",H574*0.05,H578)</f>
        <v>125.37</v>
      </c>
      <c r="F580" s="3"/>
      <c r="G580" s="30"/>
    </row>
    <row r="581" spans="1:9" ht="18.600000000000001" thickBot="1" x14ac:dyDescent="0.5">
      <c r="A581" s="86"/>
      <c r="B581" s="132" t="s">
        <v>14</v>
      </c>
      <c r="C581" s="126"/>
      <c r="D581" s="126"/>
      <c r="E581" s="19">
        <f t="shared" ref="E581" si="423">SUM(E579:E580)</f>
        <v>921.37000000004207</v>
      </c>
      <c r="F581" s="3"/>
      <c r="G581" s="30"/>
    </row>
    <row r="582" spans="1:9" ht="18.600000000000001" thickBot="1" x14ac:dyDescent="0.5">
      <c r="A582" s="97" t="s">
        <v>15</v>
      </c>
      <c r="B582" s="98"/>
      <c r="C582" s="98"/>
      <c r="D582" s="99"/>
      <c r="E582" s="20">
        <f t="shared" ref="E582" si="424">E573+E578+E581</f>
        <v>4909.9043333333784</v>
      </c>
      <c r="F582" s="3"/>
    </row>
    <row r="583" spans="1:9" ht="18.600000000000001" thickBot="1" x14ac:dyDescent="0.5">
      <c r="A583" s="6"/>
      <c r="B583" s="126" t="s">
        <v>16</v>
      </c>
      <c r="C583" s="126"/>
      <c r="D583" s="126"/>
      <c r="E583" s="19">
        <f t="shared" ref="E583" si="425">H574</f>
        <v>2507.4</v>
      </c>
      <c r="F583" s="3"/>
    </row>
    <row r="584" spans="1:9" ht="18.600000000000001" thickBot="1" x14ac:dyDescent="0.5">
      <c r="A584" s="97" t="s">
        <v>17</v>
      </c>
      <c r="B584" s="98"/>
      <c r="C584" s="98"/>
      <c r="D584" s="99"/>
      <c r="E584" s="20">
        <f t="shared" ref="E584" si="426">E583</f>
        <v>2507.4</v>
      </c>
      <c r="F584" s="3"/>
    </row>
    <row r="585" spans="1:9" ht="18.600000000000001" thickBot="1" x14ac:dyDescent="0.5">
      <c r="A585" s="96" t="s">
        <v>18</v>
      </c>
      <c r="B585" s="96"/>
      <c r="C585" s="96"/>
      <c r="D585" s="96"/>
      <c r="E585" s="14">
        <f t="shared" ref="E585" si="427">12*H569</f>
        <v>336</v>
      </c>
      <c r="F585" s="3"/>
    </row>
    <row r="586" spans="1:9" ht="18.600000000000001" thickBot="1" x14ac:dyDescent="0.5">
      <c r="A586" s="3"/>
      <c r="B586" s="3"/>
      <c r="C586" s="3"/>
      <c r="D586" s="3"/>
      <c r="E586" s="3"/>
      <c r="F586" s="3"/>
    </row>
    <row r="587" spans="1:9" ht="18.600000000000001" thickBot="1" x14ac:dyDescent="0.5">
      <c r="A587" s="12" t="s">
        <v>19</v>
      </c>
      <c r="B587" s="12"/>
      <c r="C587" s="12"/>
      <c r="D587" s="12"/>
      <c r="E587" s="15">
        <f t="shared" ref="E587" si="428">-((E584-E582)/E585)</f>
        <v>7.1503105158731497</v>
      </c>
      <c r="F587" s="3" t="s">
        <v>20</v>
      </c>
    </row>
    <row r="588" spans="1:9" x14ac:dyDescent="0.45">
      <c r="A588" s="3"/>
      <c r="B588" s="3"/>
      <c r="C588" s="3"/>
      <c r="D588" s="3"/>
      <c r="E588" s="3"/>
      <c r="F588" s="3"/>
    </row>
    <row r="589" spans="1:9" ht="18.600000000000001" thickBot="1" x14ac:dyDescent="0.5">
      <c r="A589" s="3"/>
      <c r="B589" s="3"/>
      <c r="D589" s="3"/>
      <c r="E589" s="3"/>
      <c r="F589" s="3"/>
    </row>
    <row r="590" spans="1:9" ht="18.600000000000001" thickBot="1" x14ac:dyDescent="0.5">
      <c r="A590" s="10" t="s">
        <v>4</v>
      </c>
      <c r="B590" s="3"/>
      <c r="C590" s="3"/>
      <c r="D590" s="3"/>
      <c r="E590" s="4" t="s">
        <v>1</v>
      </c>
      <c r="F590" s="4"/>
      <c r="G590" s="38" t="s">
        <v>508</v>
      </c>
      <c r="H590" s="42">
        <f t="shared" ref="H590" si="429">H569+1</f>
        <v>29</v>
      </c>
      <c r="I590" t="s">
        <v>509</v>
      </c>
    </row>
    <row r="591" spans="1:9" ht="18.600000000000001" thickBot="1" x14ac:dyDescent="0.5">
      <c r="A591" s="133" t="s">
        <v>5</v>
      </c>
      <c r="B591" s="133"/>
      <c r="C591" s="133"/>
      <c r="D591" s="133"/>
      <c r="E591" s="11" t="s">
        <v>0</v>
      </c>
      <c r="F591" s="3"/>
      <c r="G591" s="36" t="s">
        <v>464</v>
      </c>
      <c r="H591" s="37">
        <f t="shared" ref="H591:H641" si="430">H570</f>
        <v>3980</v>
      </c>
      <c r="I591" t="s">
        <v>465</v>
      </c>
    </row>
    <row r="592" spans="1:9" ht="18.600000000000001" thickBot="1" x14ac:dyDescent="0.5">
      <c r="A592" s="85"/>
      <c r="B592" s="87"/>
      <c r="C592" s="127" t="s">
        <v>3</v>
      </c>
      <c r="D592" s="128"/>
      <c r="E592" s="29">
        <f t="shared" ref="E592" si="431">IF(H594="",0,H594)</f>
        <v>0</v>
      </c>
      <c r="F592" s="3"/>
      <c r="G592" s="25" t="s">
        <v>466</v>
      </c>
      <c r="H592" s="43">
        <f t="shared" si="430"/>
        <v>0.65</v>
      </c>
      <c r="I592" t="s">
        <v>469</v>
      </c>
    </row>
    <row r="593" spans="1:9" ht="18.600000000000001" thickBot="1" x14ac:dyDescent="0.5">
      <c r="A593" s="86"/>
      <c r="B593" s="88"/>
      <c r="C593" s="127" t="s">
        <v>6</v>
      </c>
      <c r="D593" s="128"/>
      <c r="E593" s="19">
        <f>IF(H597="",$H$7*0.06,H597)</f>
        <v>238.79999999999998</v>
      </c>
      <c r="F593" s="3"/>
      <c r="G593" s="25" t="s">
        <v>467</v>
      </c>
      <c r="H593" s="37">
        <f t="shared" si="430"/>
        <v>35</v>
      </c>
      <c r="I593" t="s">
        <v>468</v>
      </c>
    </row>
    <row r="594" spans="1:9" ht="18.600000000000001" thickBot="1" x14ac:dyDescent="0.5">
      <c r="A594" s="86"/>
      <c r="B594" s="91" t="s">
        <v>7</v>
      </c>
      <c r="C594" s="92"/>
      <c r="D594" s="92"/>
      <c r="E594" s="19">
        <f t="shared" ref="E594" si="432">SUM(E592:E593)</f>
        <v>238.79999999999998</v>
      </c>
      <c r="F594" s="3"/>
      <c r="G594" s="28" t="s">
        <v>3</v>
      </c>
      <c r="H594" s="37">
        <f t="shared" si="430"/>
        <v>0</v>
      </c>
      <c r="I594" t="s">
        <v>465</v>
      </c>
    </row>
    <row r="595" spans="1:9" ht="18.600000000000001" thickBot="1" x14ac:dyDescent="0.5">
      <c r="A595" s="86"/>
      <c r="B595" s="7"/>
      <c r="C595" s="5" t="s">
        <v>8</v>
      </c>
      <c r="D595" s="5"/>
      <c r="E595" s="49">
        <f t="shared" ref="E595" si="433">_xlfn.SWITCH(H590,1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3738.0278452381008</v>
      </c>
      <c r="F595" s="3"/>
      <c r="G595" s="28" t="s">
        <v>16</v>
      </c>
      <c r="H595" s="37">
        <f>真実の家賃!$I$8*AD31</f>
        <v>2507.4</v>
      </c>
      <c r="I595" t="s">
        <v>465</v>
      </c>
    </row>
    <row r="596" spans="1:9" ht="18.600000000000001" thickBot="1" x14ac:dyDescent="0.5">
      <c r="A596" s="86"/>
      <c r="B596" s="8"/>
      <c r="C596" s="127" t="s">
        <v>2</v>
      </c>
      <c r="D596" s="128"/>
      <c r="E596" s="19">
        <f t="shared" ref="E596" si="434">IF(H598="",H590*15,H598)</f>
        <v>435</v>
      </c>
      <c r="F596" s="3"/>
      <c r="G596" s="56" t="s">
        <v>573</v>
      </c>
      <c r="H596" s="40" t="str">
        <f t="shared" si="430"/>
        <v/>
      </c>
      <c r="I596" t="s">
        <v>465</v>
      </c>
    </row>
    <row r="597" spans="1:9" ht="18.600000000000001" thickBot="1" x14ac:dyDescent="0.5">
      <c r="A597" s="86"/>
      <c r="B597" s="8"/>
      <c r="C597" s="129" t="s">
        <v>9</v>
      </c>
      <c r="D597" s="129"/>
      <c r="E597" s="19">
        <f t="shared" ref="E597" si="435">_xlfn.SWITCH(H590,1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597" s="3"/>
      <c r="G597" s="34" t="s">
        <v>6</v>
      </c>
      <c r="H597" s="40" t="str">
        <f t="shared" si="430"/>
        <v/>
      </c>
      <c r="I597" t="s">
        <v>465</v>
      </c>
    </row>
    <row r="598" spans="1:9" ht="18.600000000000001" thickBot="1" x14ac:dyDescent="0.5">
      <c r="A598" s="86"/>
      <c r="B598" s="8"/>
      <c r="C598" s="130" t="s">
        <v>10</v>
      </c>
      <c r="D598" s="131"/>
      <c r="E598" s="49">
        <f t="shared" ref="E598" si="436">IF(H596="",$Z$3,H590*H596)</f>
        <v>0</v>
      </c>
      <c r="F598" s="3"/>
      <c r="G598" s="28" t="s">
        <v>560</v>
      </c>
      <c r="H598" s="40" t="str">
        <f t="shared" si="430"/>
        <v/>
      </c>
      <c r="I598" t="s">
        <v>465</v>
      </c>
    </row>
    <row r="599" spans="1:9" ht="18.600000000000001" thickBot="1" x14ac:dyDescent="0.5">
      <c r="A599" s="86"/>
      <c r="B599" s="132" t="s">
        <v>11</v>
      </c>
      <c r="C599" s="126"/>
      <c r="D599" s="126"/>
      <c r="E599" s="19">
        <f t="shared" ref="E599" si="437">SUM(E595:E598)</f>
        <v>3883.2838452380993</v>
      </c>
      <c r="F599" s="3"/>
      <c r="G599" s="33" t="s">
        <v>561</v>
      </c>
      <c r="H599" s="41" t="str">
        <f t="shared" si="430"/>
        <v/>
      </c>
      <c r="I599" t="s">
        <v>465</v>
      </c>
    </row>
    <row r="600" spans="1:9" ht="18.600000000000001" thickBot="1" x14ac:dyDescent="0.5">
      <c r="A600" s="86"/>
      <c r="B600" s="7"/>
      <c r="C600" s="127" t="s">
        <v>12</v>
      </c>
      <c r="D600" s="128"/>
      <c r="E600" s="19">
        <f t="shared" ref="E600" si="438">_xlfn.SWITCH(H590,1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682.28571428575628</v>
      </c>
      <c r="F600" s="3"/>
      <c r="G600" s="30"/>
    </row>
    <row r="601" spans="1:9" ht="18.600000000000001" thickBot="1" x14ac:dyDescent="0.5">
      <c r="A601" s="86"/>
      <c r="B601" s="8"/>
      <c r="C601" s="127" t="s">
        <v>13</v>
      </c>
      <c r="D601" s="128"/>
      <c r="E601" s="19">
        <f>IF(H599="",H595*0.05,H599)</f>
        <v>125.37</v>
      </c>
      <c r="F601" s="3"/>
      <c r="G601" s="30"/>
    </row>
    <row r="602" spans="1:9" ht="18.600000000000001" thickBot="1" x14ac:dyDescent="0.5">
      <c r="A602" s="86"/>
      <c r="B602" s="132" t="s">
        <v>14</v>
      </c>
      <c r="C602" s="126"/>
      <c r="D602" s="126"/>
      <c r="E602" s="19">
        <f t="shared" ref="E602" si="439">SUM(E600:E601)</f>
        <v>807.65571428575629</v>
      </c>
      <c r="F602" s="3"/>
      <c r="G602" s="30"/>
    </row>
    <row r="603" spans="1:9" ht="18.600000000000001" thickBot="1" x14ac:dyDescent="0.5">
      <c r="A603" s="97" t="s">
        <v>15</v>
      </c>
      <c r="B603" s="98"/>
      <c r="C603" s="98"/>
      <c r="D603" s="99"/>
      <c r="E603" s="20">
        <f t="shared" ref="E603" si="440">E594+E599+E602</f>
        <v>4929.7395595238559</v>
      </c>
      <c r="F603" s="3"/>
    </row>
    <row r="604" spans="1:9" ht="18.600000000000001" thickBot="1" x14ac:dyDescent="0.5">
      <c r="A604" s="6"/>
      <c r="B604" s="126" t="s">
        <v>16</v>
      </c>
      <c r="C604" s="126"/>
      <c r="D604" s="126"/>
      <c r="E604" s="19">
        <f t="shared" ref="E604" si="441">H595</f>
        <v>2507.4</v>
      </c>
      <c r="F604" s="3"/>
    </row>
    <row r="605" spans="1:9" ht="18.600000000000001" thickBot="1" x14ac:dyDescent="0.5">
      <c r="A605" s="97" t="s">
        <v>17</v>
      </c>
      <c r="B605" s="98"/>
      <c r="C605" s="98"/>
      <c r="D605" s="99"/>
      <c r="E605" s="20">
        <f t="shared" ref="E605" si="442">E604</f>
        <v>2507.4</v>
      </c>
      <c r="F605" s="3"/>
    </row>
    <row r="606" spans="1:9" ht="18.600000000000001" thickBot="1" x14ac:dyDescent="0.5">
      <c r="A606" s="96" t="s">
        <v>18</v>
      </c>
      <c r="B606" s="96"/>
      <c r="C606" s="96"/>
      <c r="D606" s="96"/>
      <c r="E606" s="14">
        <f t="shared" ref="E606" si="443">12*H590</f>
        <v>348</v>
      </c>
      <c r="F606" s="3"/>
    </row>
    <row r="607" spans="1:9" ht="18.600000000000001" thickBot="1" x14ac:dyDescent="0.5">
      <c r="A607" s="3"/>
      <c r="B607" s="3"/>
      <c r="C607" s="3"/>
      <c r="D607" s="3"/>
      <c r="E607" s="3"/>
      <c r="F607" s="3"/>
    </row>
    <row r="608" spans="1:9" ht="18.600000000000001" thickBot="1" x14ac:dyDescent="0.5">
      <c r="A608" s="12" t="s">
        <v>19</v>
      </c>
      <c r="B608" s="12"/>
      <c r="C608" s="12"/>
      <c r="D608" s="12"/>
      <c r="E608" s="15">
        <f t="shared" ref="E608" si="444">-((E605-E603)/E606)</f>
        <v>6.9607458607007349</v>
      </c>
      <c r="F608" s="3" t="s">
        <v>20</v>
      </c>
    </row>
    <row r="609" spans="1:9" x14ac:dyDescent="0.45">
      <c r="A609" s="3"/>
      <c r="B609" s="3"/>
      <c r="C609" s="3"/>
      <c r="D609" s="3"/>
      <c r="E609" s="3"/>
      <c r="F609" s="3"/>
    </row>
    <row r="610" spans="1:9" ht="18.600000000000001" thickBot="1" x14ac:dyDescent="0.5">
      <c r="A610" s="3"/>
      <c r="B610" s="3"/>
      <c r="D610" s="3"/>
      <c r="E610" s="3"/>
      <c r="F610" s="3"/>
    </row>
    <row r="611" spans="1:9" ht="18.600000000000001" thickBot="1" x14ac:dyDescent="0.5">
      <c r="A611" s="10" t="s">
        <v>4</v>
      </c>
      <c r="B611" s="3"/>
      <c r="C611" s="3"/>
      <c r="D611" s="3"/>
      <c r="E611" s="4" t="s">
        <v>1</v>
      </c>
      <c r="F611" s="4"/>
      <c r="G611" s="38" t="s">
        <v>508</v>
      </c>
      <c r="H611" s="42">
        <f t="shared" ref="H611" si="445">H590+1</f>
        <v>30</v>
      </c>
      <c r="I611" t="s">
        <v>509</v>
      </c>
    </row>
    <row r="612" spans="1:9" ht="18.600000000000001" thickBot="1" x14ac:dyDescent="0.5">
      <c r="A612" s="133" t="s">
        <v>5</v>
      </c>
      <c r="B612" s="133"/>
      <c r="C612" s="133"/>
      <c r="D612" s="133"/>
      <c r="E612" s="11" t="s">
        <v>0</v>
      </c>
      <c r="F612" s="3"/>
      <c r="G612" s="36" t="s">
        <v>464</v>
      </c>
      <c r="H612" s="37">
        <f t="shared" ref="H612:H617" si="446">H591</f>
        <v>3980</v>
      </c>
      <c r="I612" t="s">
        <v>465</v>
      </c>
    </row>
    <row r="613" spans="1:9" ht="18.600000000000001" thickBot="1" x14ac:dyDescent="0.5">
      <c r="A613" s="85"/>
      <c r="B613" s="87"/>
      <c r="C613" s="127" t="s">
        <v>3</v>
      </c>
      <c r="D613" s="128"/>
      <c r="E613" s="29">
        <f t="shared" ref="E613" si="447">IF(H615="",0,H615)</f>
        <v>0</v>
      </c>
      <c r="F613" s="3"/>
      <c r="G613" s="25" t="s">
        <v>466</v>
      </c>
      <c r="H613" s="43">
        <f t="shared" si="446"/>
        <v>0.65</v>
      </c>
      <c r="I613" t="s">
        <v>469</v>
      </c>
    </row>
    <row r="614" spans="1:9" ht="18.600000000000001" thickBot="1" x14ac:dyDescent="0.5">
      <c r="A614" s="86"/>
      <c r="B614" s="88"/>
      <c r="C614" s="127" t="s">
        <v>6</v>
      </c>
      <c r="D614" s="128"/>
      <c r="E614" s="19">
        <f>IF(H618="",$H$7*0.06,H618)</f>
        <v>238.79999999999998</v>
      </c>
      <c r="F614" s="3"/>
      <c r="G614" s="25" t="s">
        <v>467</v>
      </c>
      <c r="H614" s="37">
        <f t="shared" si="446"/>
        <v>35</v>
      </c>
      <c r="I614" t="s">
        <v>468</v>
      </c>
    </row>
    <row r="615" spans="1:9" ht="18.600000000000001" thickBot="1" x14ac:dyDescent="0.5">
      <c r="A615" s="86"/>
      <c r="B615" s="91" t="s">
        <v>7</v>
      </c>
      <c r="C615" s="92"/>
      <c r="D615" s="92"/>
      <c r="E615" s="19">
        <f t="shared" ref="E615" si="448">SUM(E613:E614)</f>
        <v>238.79999999999998</v>
      </c>
      <c r="F615" s="3"/>
      <c r="G615" s="28" t="s">
        <v>3</v>
      </c>
      <c r="H615" s="37">
        <f t="shared" si="446"/>
        <v>0</v>
      </c>
      <c r="I615" t="s">
        <v>465</v>
      </c>
    </row>
    <row r="616" spans="1:9" ht="18.600000000000001" thickBot="1" x14ac:dyDescent="0.5">
      <c r="A616" s="86"/>
      <c r="B616" s="7"/>
      <c r="C616" s="5" t="s">
        <v>8</v>
      </c>
      <c r="D616" s="5"/>
      <c r="E616" s="49">
        <f t="shared" ref="E616" si="449">_xlfn.SWITCH(H611,1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3855.8382142857199</v>
      </c>
      <c r="F616" s="3"/>
      <c r="G616" s="28" t="s">
        <v>16</v>
      </c>
      <c r="H616" s="37">
        <f>真実の家賃!$I$8*AD32</f>
        <v>2507.4</v>
      </c>
      <c r="I616" t="s">
        <v>465</v>
      </c>
    </row>
    <row r="617" spans="1:9" ht="18.600000000000001" thickBot="1" x14ac:dyDescent="0.5">
      <c r="A617" s="86"/>
      <c r="B617" s="8"/>
      <c r="C617" s="127" t="s">
        <v>2</v>
      </c>
      <c r="D617" s="128"/>
      <c r="E617" s="19">
        <f t="shared" ref="E617" si="450">IF(H619="",H611*15,H619)</f>
        <v>450</v>
      </c>
      <c r="F617" s="3"/>
      <c r="G617" s="56" t="s">
        <v>573</v>
      </c>
      <c r="H617" s="40" t="str">
        <f t="shared" si="446"/>
        <v/>
      </c>
      <c r="I617" t="s">
        <v>465</v>
      </c>
    </row>
    <row r="618" spans="1:9" ht="18.600000000000001" thickBot="1" x14ac:dyDescent="0.5">
      <c r="A618" s="86"/>
      <c r="B618" s="8"/>
      <c r="C618" s="129" t="s">
        <v>9</v>
      </c>
      <c r="D618" s="129"/>
      <c r="E618" s="19">
        <f t="shared" ref="E618" si="451">_xlfn.SWITCH(H611,1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618" s="3"/>
      <c r="G618" s="34" t="s">
        <v>6</v>
      </c>
      <c r="H618" s="40" t="str">
        <f t="shared" si="414"/>
        <v/>
      </c>
      <c r="I618" t="s">
        <v>465</v>
      </c>
    </row>
    <row r="619" spans="1:9" ht="18.600000000000001" thickBot="1" x14ac:dyDescent="0.5">
      <c r="A619" s="86"/>
      <c r="B619" s="8"/>
      <c r="C619" s="130" t="s">
        <v>10</v>
      </c>
      <c r="D619" s="131"/>
      <c r="E619" s="49">
        <f t="shared" ref="E619" si="452">IF(H617="",$Z$3,H611*H617)</f>
        <v>0</v>
      </c>
      <c r="F619" s="3"/>
      <c r="G619" s="28" t="s">
        <v>560</v>
      </c>
      <c r="H619" s="40" t="str">
        <f t="shared" si="414"/>
        <v/>
      </c>
      <c r="I619" t="s">
        <v>465</v>
      </c>
    </row>
    <row r="620" spans="1:9" ht="18.600000000000001" thickBot="1" x14ac:dyDescent="0.5">
      <c r="A620" s="86"/>
      <c r="B620" s="132" t="s">
        <v>11</v>
      </c>
      <c r="C620" s="126"/>
      <c r="D620" s="126"/>
      <c r="E620" s="19">
        <f t="shared" ref="E620" si="453">SUM(E616:E619)</f>
        <v>4016.0942142857184</v>
      </c>
      <c r="F620" s="3"/>
      <c r="G620" s="33" t="s">
        <v>561</v>
      </c>
      <c r="H620" s="41" t="str">
        <f t="shared" si="414"/>
        <v/>
      </c>
      <c r="I620" t="s">
        <v>465</v>
      </c>
    </row>
    <row r="621" spans="1:9" ht="18.600000000000001" thickBot="1" x14ac:dyDescent="0.5">
      <c r="A621" s="86"/>
      <c r="B621" s="7"/>
      <c r="C621" s="127" t="s">
        <v>12</v>
      </c>
      <c r="D621" s="128"/>
      <c r="E621" s="19">
        <f t="shared" ref="E621" si="454">_xlfn.SWITCH(H611,1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568.57142857147051</v>
      </c>
      <c r="F621" s="3"/>
      <c r="G621" s="30"/>
    </row>
    <row r="622" spans="1:9" ht="18.600000000000001" thickBot="1" x14ac:dyDescent="0.5">
      <c r="A622" s="86"/>
      <c r="B622" s="8"/>
      <c r="C622" s="127" t="s">
        <v>13</v>
      </c>
      <c r="D622" s="128"/>
      <c r="E622" s="19">
        <f>IF(H620="",H616*0.05,H620)</f>
        <v>125.37</v>
      </c>
      <c r="F622" s="3"/>
      <c r="G622" s="30"/>
    </row>
    <row r="623" spans="1:9" ht="18.600000000000001" thickBot="1" x14ac:dyDescent="0.5">
      <c r="A623" s="86"/>
      <c r="B623" s="132" t="s">
        <v>14</v>
      </c>
      <c r="C623" s="126"/>
      <c r="D623" s="126"/>
      <c r="E623" s="19">
        <f t="shared" ref="E623" si="455">SUM(E621:E622)</f>
        <v>693.94142857147051</v>
      </c>
      <c r="F623" s="3"/>
      <c r="G623" s="30"/>
    </row>
    <row r="624" spans="1:9" ht="18.600000000000001" thickBot="1" x14ac:dyDescent="0.5">
      <c r="A624" s="97" t="s">
        <v>15</v>
      </c>
      <c r="B624" s="98"/>
      <c r="C624" s="98"/>
      <c r="D624" s="99"/>
      <c r="E624" s="20">
        <f t="shared" ref="E624" si="456">E615+E620+E623</f>
        <v>4948.8356428571888</v>
      </c>
      <c r="F624" s="3"/>
    </row>
    <row r="625" spans="1:9" ht="18.600000000000001" thickBot="1" x14ac:dyDescent="0.5">
      <c r="A625" s="6"/>
      <c r="B625" s="126" t="s">
        <v>16</v>
      </c>
      <c r="C625" s="126"/>
      <c r="D625" s="126"/>
      <c r="E625" s="19">
        <f t="shared" ref="E625" si="457">H616</f>
        <v>2507.4</v>
      </c>
      <c r="F625" s="3"/>
    </row>
    <row r="626" spans="1:9" ht="18.600000000000001" thickBot="1" x14ac:dyDescent="0.5">
      <c r="A626" s="97" t="s">
        <v>17</v>
      </c>
      <c r="B626" s="98"/>
      <c r="C626" s="98"/>
      <c r="D626" s="99"/>
      <c r="E626" s="20">
        <f t="shared" ref="E626" si="458">E625</f>
        <v>2507.4</v>
      </c>
      <c r="F626" s="3"/>
    </row>
    <row r="627" spans="1:9" ht="18.600000000000001" thickBot="1" x14ac:dyDescent="0.5">
      <c r="A627" s="96" t="s">
        <v>18</v>
      </c>
      <c r="B627" s="96"/>
      <c r="C627" s="96"/>
      <c r="D627" s="96"/>
      <c r="E627" s="14">
        <f t="shared" ref="E627" si="459">12*H611</f>
        <v>360</v>
      </c>
      <c r="F627" s="3"/>
    </row>
    <row r="628" spans="1:9" ht="18.600000000000001" thickBot="1" x14ac:dyDescent="0.5">
      <c r="A628" s="3"/>
      <c r="B628" s="3"/>
      <c r="C628" s="3"/>
      <c r="D628" s="3"/>
      <c r="E628" s="3"/>
      <c r="F628" s="3"/>
    </row>
    <row r="629" spans="1:9" ht="18.600000000000001" thickBot="1" x14ac:dyDescent="0.5">
      <c r="A629" s="12" t="s">
        <v>19</v>
      </c>
      <c r="B629" s="12"/>
      <c r="C629" s="12"/>
      <c r="D629" s="12"/>
      <c r="E629" s="15">
        <f t="shared" ref="E629" si="460">-((E626-E624)/E627)</f>
        <v>6.7817656746033022</v>
      </c>
      <c r="F629" s="3" t="s">
        <v>20</v>
      </c>
    </row>
    <row r="630" spans="1:9" x14ac:dyDescent="0.45">
      <c r="A630" s="3"/>
      <c r="B630" s="3"/>
      <c r="C630" s="3"/>
      <c r="D630" s="3"/>
      <c r="E630" s="3"/>
      <c r="F630" s="3"/>
    </row>
    <row r="631" spans="1:9" ht="18.600000000000001" thickBot="1" x14ac:dyDescent="0.5">
      <c r="A631" s="3"/>
      <c r="B631" s="3"/>
      <c r="D631" s="3"/>
      <c r="E631" s="3"/>
      <c r="F631" s="3"/>
    </row>
    <row r="632" spans="1:9" ht="18.600000000000001" thickBot="1" x14ac:dyDescent="0.5">
      <c r="A632" s="10" t="s">
        <v>4</v>
      </c>
      <c r="B632" s="3"/>
      <c r="C632" s="3"/>
      <c r="D632" s="3"/>
      <c r="E632" s="4" t="s">
        <v>1</v>
      </c>
      <c r="F632" s="4"/>
      <c r="G632" s="38" t="s">
        <v>508</v>
      </c>
      <c r="H632" s="42">
        <f t="shared" ref="H632" si="461">H611+1</f>
        <v>31</v>
      </c>
      <c r="I632" t="s">
        <v>509</v>
      </c>
    </row>
    <row r="633" spans="1:9" ht="18.600000000000001" thickBot="1" x14ac:dyDescent="0.5">
      <c r="A633" s="133" t="s">
        <v>5</v>
      </c>
      <c r="B633" s="133"/>
      <c r="C633" s="133"/>
      <c r="D633" s="133"/>
      <c r="E633" s="11" t="s">
        <v>0</v>
      </c>
      <c r="F633" s="3"/>
      <c r="G633" s="36" t="s">
        <v>464</v>
      </c>
      <c r="H633" s="37">
        <f t="shared" ref="H633:H638" si="462">H612</f>
        <v>3980</v>
      </c>
      <c r="I633" t="s">
        <v>465</v>
      </c>
    </row>
    <row r="634" spans="1:9" ht="18.600000000000001" thickBot="1" x14ac:dyDescent="0.5">
      <c r="A634" s="85"/>
      <c r="B634" s="87"/>
      <c r="C634" s="127" t="s">
        <v>3</v>
      </c>
      <c r="D634" s="128"/>
      <c r="E634" s="29">
        <f t="shared" ref="E634" si="463">IF(H636="",0,H636)</f>
        <v>0</v>
      </c>
      <c r="F634" s="3"/>
      <c r="G634" s="25" t="s">
        <v>466</v>
      </c>
      <c r="H634" s="43">
        <f t="shared" si="462"/>
        <v>0.65</v>
      </c>
      <c r="I634" t="s">
        <v>469</v>
      </c>
    </row>
    <row r="635" spans="1:9" ht="18.600000000000001" thickBot="1" x14ac:dyDescent="0.5">
      <c r="A635" s="86"/>
      <c r="B635" s="88"/>
      <c r="C635" s="127" t="s">
        <v>6</v>
      </c>
      <c r="D635" s="128"/>
      <c r="E635" s="19">
        <f>IF(H639="",$H$7*0.06,H639)</f>
        <v>238.79999999999998</v>
      </c>
      <c r="F635" s="3"/>
      <c r="G635" s="25" t="s">
        <v>467</v>
      </c>
      <c r="H635" s="37">
        <f t="shared" si="462"/>
        <v>35</v>
      </c>
      <c r="I635" t="s">
        <v>468</v>
      </c>
    </row>
    <row r="636" spans="1:9" ht="18.600000000000001" thickBot="1" x14ac:dyDescent="0.5">
      <c r="A636" s="86"/>
      <c r="B636" s="91" t="s">
        <v>7</v>
      </c>
      <c r="C636" s="92"/>
      <c r="D636" s="92"/>
      <c r="E636" s="19">
        <f t="shared" ref="E636" si="464">SUM(E634:E635)</f>
        <v>238.79999999999998</v>
      </c>
      <c r="F636" s="3"/>
      <c r="G636" s="28" t="s">
        <v>3</v>
      </c>
      <c r="H636" s="37">
        <f t="shared" si="462"/>
        <v>0</v>
      </c>
      <c r="I636" t="s">
        <v>465</v>
      </c>
    </row>
    <row r="637" spans="1:9" ht="18.600000000000001" thickBot="1" x14ac:dyDescent="0.5">
      <c r="A637" s="86"/>
      <c r="B637" s="7"/>
      <c r="C637" s="5" t="s">
        <v>8</v>
      </c>
      <c r="D637" s="5"/>
      <c r="E637" s="49">
        <f t="shared" ref="E637" si="465">_xlfn.SWITCH(H632,1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3972.9094404761963</v>
      </c>
      <c r="F637" s="3"/>
      <c r="G637" s="28" t="s">
        <v>16</v>
      </c>
      <c r="H637" s="37">
        <f>真実の家賃!$I$8*AD33</f>
        <v>2507.4</v>
      </c>
      <c r="I637" t="s">
        <v>465</v>
      </c>
    </row>
    <row r="638" spans="1:9" ht="18.600000000000001" thickBot="1" x14ac:dyDescent="0.5">
      <c r="A638" s="86"/>
      <c r="B638" s="8"/>
      <c r="C638" s="127" t="s">
        <v>2</v>
      </c>
      <c r="D638" s="128"/>
      <c r="E638" s="19">
        <f t="shared" ref="E638" si="466">IF(H640="",H632*15,H640)</f>
        <v>465</v>
      </c>
      <c r="F638" s="3"/>
      <c r="G638" s="56" t="s">
        <v>573</v>
      </c>
      <c r="H638" s="40" t="str">
        <f t="shared" si="462"/>
        <v/>
      </c>
      <c r="I638" t="s">
        <v>465</v>
      </c>
    </row>
    <row r="639" spans="1:9" ht="18.600000000000001" thickBot="1" x14ac:dyDescent="0.5">
      <c r="A639" s="86"/>
      <c r="B639" s="8"/>
      <c r="C639" s="129" t="s">
        <v>9</v>
      </c>
      <c r="D639" s="129"/>
      <c r="E639" s="19">
        <f t="shared" ref="E639" si="467">_xlfn.SWITCH(H632,1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639" s="3"/>
      <c r="G639" s="34" t="s">
        <v>6</v>
      </c>
      <c r="H639" s="40" t="str">
        <f t="shared" si="430"/>
        <v/>
      </c>
      <c r="I639" t="s">
        <v>465</v>
      </c>
    </row>
    <row r="640" spans="1:9" ht="18.600000000000001" thickBot="1" x14ac:dyDescent="0.5">
      <c r="A640" s="86"/>
      <c r="B640" s="8"/>
      <c r="C640" s="130" t="s">
        <v>10</v>
      </c>
      <c r="D640" s="131"/>
      <c r="E640" s="49">
        <f t="shared" ref="E640" si="468">IF(H638="",$Z$3,H632*H638)</f>
        <v>0</v>
      </c>
      <c r="F640" s="3"/>
      <c r="G640" s="28" t="s">
        <v>560</v>
      </c>
      <c r="H640" s="40" t="str">
        <f t="shared" si="430"/>
        <v/>
      </c>
      <c r="I640" t="s">
        <v>465</v>
      </c>
    </row>
    <row r="641" spans="1:9" ht="18.600000000000001" thickBot="1" x14ac:dyDescent="0.5">
      <c r="A641" s="86"/>
      <c r="B641" s="132" t="s">
        <v>11</v>
      </c>
      <c r="C641" s="126"/>
      <c r="D641" s="126"/>
      <c r="E641" s="19">
        <f t="shared" ref="E641" si="469">SUM(E637:E640)</f>
        <v>4148.1654404761948</v>
      </c>
      <c r="F641" s="3"/>
      <c r="G641" s="33" t="s">
        <v>561</v>
      </c>
      <c r="H641" s="41" t="str">
        <f t="shared" si="430"/>
        <v/>
      </c>
      <c r="I641" t="s">
        <v>465</v>
      </c>
    </row>
    <row r="642" spans="1:9" ht="18.600000000000001" thickBot="1" x14ac:dyDescent="0.5">
      <c r="A642" s="86"/>
      <c r="B642" s="7"/>
      <c r="C642" s="127" t="s">
        <v>12</v>
      </c>
      <c r="D642" s="128"/>
      <c r="E642" s="19">
        <f t="shared" ref="E642" si="470">_xlfn.SWITCH(H632,1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454.85714285718461</v>
      </c>
      <c r="F642" s="3"/>
      <c r="G642" s="30"/>
    </row>
    <row r="643" spans="1:9" ht="18.600000000000001" thickBot="1" x14ac:dyDescent="0.5">
      <c r="A643" s="86"/>
      <c r="B643" s="8"/>
      <c r="C643" s="127" t="s">
        <v>13</v>
      </c>
      <c r="D643" s="128"/>
      <c r="E643" s="19">
        <f>IF(H641="",H637*0.05,H641)</f>
        <v>125.37</v>
      </c>
      <c r="F643" s="3"/>
      <c r="G643" s="30"/>
    </row>
    <row r="644" spans="1:9" ht="18.600000000000001" thickBot="1" x14ac:dyDescent="0.5">
      <c r="A644" s="86"/>
      <c r="B644" s="132" t="s">
        <v>14</v>
      </c>
      <c r="C644" s="126"/>
      <c r="D644" s="126"/>
      <c r="E644" s="19">
        <f t="shared" ref="E644" si="471">SUM(E642:E643)</f>
        <v>580.22714285718462</v>
      </c>
      <c r="F644" s="3"/>
      <c r="G644" s="30"/>
    </row>
    <row r="645" spans="1:9" ht="18.600000000000001" thickBot="1" x14ac:dyDescent="0.5">
      <c r="A645" s="97" t="s">
        <v>15</v>
      </c>
      <c r="B645" s="98"/>
      <c r="C645" s="98"/>
      <c r="D645" s="99"/>
      <c r="E645" s="20">
        <f t="shared" ref="E645" si="472">E636+E641+E644</f>
        <v>4967.1925833333798</v>
      </c>
      <c r="F645" s="3"/>
    </row>
    <row r="646" spans="1:9" ht="18.600000000000001" thickBot="1" x14ac:dyDescent="0.5">
      <c r="A646" s="6"/>
      <c r="B646" s="126" t="s">
        <v>16</v>
      </c>
      <c r="C646" s="126"/>
      <c r="D646" s="126"/>
      <c r="E646" s="19">
        <f t="shared" ref="E646" si="473">H637</f>
        <v>2507.4</v>
      </c>
      <c r="F646" s="3"/>
    </row>
    <row r="647" spans="1:9" ht="18.600000000000001" thickBot="1" x14ac:dyDescent="0.5">
      <c r="A647" s="97" t="s">
        <v>17</v>
      </c>
      <c r="B647" s="98"/>
      <c r="C647" s="98"/>
      <c r="D647" s="99"/>
      <c r="E647" s="20">
        <f t="shared" ref="E647" si="474">E646</f>
        <v>2507.4</v>
      </c>
      <c r="F647" s="3"/>
    </row>
    <row r="648" spans="1:9" ht="18.600000000000001" thickBot="1" x14ac:dyDescent="0.5">
      <c r="A648" s="96" t="s">
        <v>18</v>
      </c>
      <c r="B648" s="96"/>
      <c r="C648" s="96"/>
      <c r="D648" s="96"/>
      <c r="E648" s="14">
        <f t="shared" ref="E648" si="475">12*H632</f>
        <v>372</v>
      </c>
      <c r="F648" s="3"/>
    </row>
    <row r="649" spans="1:9" ht="18.600000000000001" thickBot="1" x14ac:dyDescent="0.5">
      <c r="A649" s="3"/>
      <c r="B649" s="3"/>
      <c r="C649" s="3"/>
      <c r="D649" s="3"/>
      <c r="E649" s="3"/>
      <c r="F649" s="3"/>
    </row>
    <row r="650" spans="1:9" ht="18.600000000000001" thickBot="1" x14ac:dyDescent="0.5">
      <c r="A650" s="12" t="s">
        <v>19</v>
      </c>
      <c r="B650" s="12"/>
      <c r="C650" s="12"/>
      <c r="D650" s="12"/>
      <c r="E650" s="15">
        <f t="shared" ref="E650" si="476">-((E647-E645)/E648)</f>
        <v>6.6123456541219889</v>
      </c>
      <c r="F650" s="3" t="s">
        <v>20</v>
      </c>
    </row>
    <row r="651" spans="1:9" x14ac:dyDescent="0.45">
      <c r="A651" s="3"/>
      <c r="B651" s="3"/>
      <c r="C651" s="3"/>
      <c r="D651" s="3"/>
      <c r="E651" s="3"/>
      <c r="F651" s="3"/>
    </row>
    <row r="652" spans="1:9" ht="18.600000000000001" thickBot="1" x14ac:dyDescent="0.5">
      <c r="A652" s="3"/>
      <c r="B652" s="3"/>
      <c r="D652" s="3"/>
      <c r="E652" s="3"/>
      <c r="F652" s="3"/>
    </row>
    <row r="653" spans="1:9" ht="18.600000000000001" thickBot="1" x14ac:dyDescent="0.5">
      <c r="A653" s="10" t="s">
        <v>4</v>
      </c>
      <c r="B653" s="3"/>
      <c r="C653" s="3"/>
      <c r="D653" s="3"/>
      <c r="E653" s="4" t="s">
        <v>1</v>
      </c>
      <c r="F653" s="4"/>
      <c r="G653" s="38" t="s">
        <v>508</v>
      </c>
      <c r="H653" s="42">
        <f t="shared" ref="H653" si="477">H632+1</f>
        <v>32</v>
      </c>
      <c r="I653" t="s">
        <v>509</v>
      </c>
    </row>
    <row r="654" spans="1:9" ht="18.600000000000001" thickBot="1" x14ac:dyDescent="0.5">
      <c r="A654" s="133" t="s">
        <v>5</v>
      </c>
      <c r="B654" s="133"/>
      <c r="C654" s="133"/>
      <c r="D654" s="133"/>
      <c r="E654" s="11" t="s">
        <v>0</v>
      </c>
      <c r="F654" s="3"/>
      <c r="G654" s="36" t="s">
        <v>464</v>
      </c>
      <c r="H654" s="37">
        <f t="shared" ref="H654:H704" si="478">H633</f>
        <v>3980</v>
      </c>
      <c r="I654" t="s">
        <v>465</v>
      </c>
    </row>
    <row r="655" spans="1:9" ht="18.600000000000001" thickBot="1" x14ac:dyDescent="0.5">
      <c r="A655" s="85"/>
      <c r="B655" s="87"/>
      <c r="C655" s="127" t="s">
        <v>3</v>
      </c>
      <c r="D655" s="128"/>
      <c r="E655" s="29">
        <f t="shared" ref="E655" si="479">IF(H657="",0,H657)</f>
        <v>0</v>
      </c>
      <c r="F655" s="3"/>
      <c r="G655" s="25" t="s">
        <v>466</v>
      </c>
      <c r="H655" s="43">
        <f t="shared" si="478"/>
        <v>0.65</v>
      </c>
      <c r="I655" t="s">
        <v>469</v>
      </c>
    </row>
    <row r="656" spans="1:9" ht="18.600000000000001" thickBot="1" x14ac:dyDescent="0.5">
      <c r="A656" s="86"/>
      <c r="B656" s="88"/>
      <c r="C656" s="127" t="s">
        <v>6</v>
      </c>
      <c r="D656" s="128"/>
      <c r="E656" s="19">
        <f>IF(H660="",$H$7*0.06,H660)</f>
        <v>238.79999999999998</v>
      </c>
      <c r="F656" s="3"/>
      <c r="G656" s="25" t="s">
        <v>467</v>
      </c>
      <c r="H656" s="37">
        <f t="shared" si="478"/>
        <v>35</v>
      </c>
      <c r="I656" t="s">
        <v>468</v>
      </c>
    </row>
    <row r="657" spans="1:9" ht="18.600000000000001" thickBot="1" x14ac:dyDescent="0.5">
      <c r="A657" s="86"/>
      <c r="B657" s="91" t="s">
        <v>7</v>
      </c>
      <c r="C657" s="92"/>
      <c r="D657" s="92"/>
      <c r="E657" s="19">
        <f t="shared" ref="E657" si="480">SUM(E655:E656)</f>
        <v>238.79999999999998</v>
      </c>
      <c r="F657" s="3"/>
      <c r="G657" s="28" t="s">
        <v>3</v>
      </c>
      <c r="H657" s="37">
        <f t="shared" si="478"/>
        <v>0</v>
      </c>
      <c r="I657" t="s">
        <v>465</v>
      </c>
    </row>
    <row r="658" spans="1:9" ht="18.600000000000001" thickBot="1" x14ac:dyDescent="0.5">
      <c r="A658" s="86"/>
      <c r="B658" s="7"/>
      <c r="C658" s="5" t="s">
        <v>8</v>
      </c>
      <c r="D658" s="5"/>
      <c r="E658" s="49">
        <f t="shared" ref="E658" si="481">_xlfn.SWITCH(H653,1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4089.24152380953</v>
      </c>
      <c r="F658" s="3"/>
      <c r="G658" s="28" t="s">
        <v>16</v>
      </c>
      <c r="H658" s="37">
        <f>真実の家賃!$I$8*AD34</f>
        <v>2507.4</v>
      </c>
      <c r="I658" t="s">
        <v>465</v>
      </c>
    </row>
    <row r="659" spans="1:9" ht="18.600000000000001" thickBot="1" x14ac:dyDescent="0.5">
      <c r="A659" s="86"/>
      <c r="B659" s="8"/>
      <c r="C659" s="127" t="s">
        <v>2</v>
      </c>
      <c r="D659" s="128"/>
      <c r="E659" s="19">
        <f t="shared" ref="E659" si="482">IF(H661="",H653*15,H661)</f>
        <v>480</v>
      </c>
      <c r="F659" s="3"/>
      <c r="G659" s="56" t="s">
        <v>573</v>
      </c>
      <c r="H659" s="40" t="str">
        <f t="shared" si="478"/>
        <v/>
      </c>
      <c r="I659" t="s">
        <v>465</v>
      </c>
    </row>
    <row r="660" spans="1:9" ht="18.600000000000001" thickBot="1" x14ac:dyDescent="0.5">
      <c r="A660" s="86"/>
      <c r="B660" s="8"/>
      <c r="C660" s="129" t="s">
        <v>9</v>
      </c>
      <c r="D660" s="129"/>
      <c r="E660" s="19">
        <f t="shared" ref="E660" si="483">_xlfn.SWITCH(H653,1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660" s="3"/>
      <c r="G660" s="34" t="s">
        <v>6</v>
      </c>
      <c r="H660" s="40" t="str">
        <f t="shared" si="478"/>
        <v/>
      </c>
      <c r="I660" t="s">
        <v>465</v>
      </c>
    </row>
    <row r="661" spans="1:9" ht="18.600000000000001" thickBot="1" x14ac:dyDescent="0.5">
      <c r="A661" s="86"/>
      <c r="B661" s="8"/>
      <c r="C661" s="130" t="s">
        <v>10</v>
      </c>
      <c r="D661" s="131"/>
      <c r="E661" s="49">
        <f t="shared" ref="E661" si="484">IF(H659="",$Z$3,H653*H659)</f>
        <v>0</v>
      </c>
      <c r="F661" s="3"/>
      <c r="G661" s="28" t="s">
        <v>560</v>
      </c>
      <c r="H661" s="40" t="str">
        <f t="shared" si="478"/>
        <v/>
      </c>
      <c r="I661" t="s">
        <v>465</v>
      </c>
    </row>
    <row r="662" spans="1:9" ht="18.600000000000001" thickBot="1" x14ac:dyDescent="0.5">
      <c r="A662" s="86"/>
      <c r="B662" s="132" t="s">
        <v>11</v>
      </c>
      <c r="C662" s="126"/>
      <c r="D662" s="126"/>
      <c r="E662" s="19">
        <f t="shared" ref="E662" si="485">SUM(E658:E661)</f>
        <v>4279.4975238095285</v>
      </c>
      <c r="F662" s="3"/>
      <c r="G662" s="33" t="s">
        <v>561</v>
      </c>
      <c r="H662" s="41" t="str">
        <f t="shared" si="478"/>
        <v/>
      </c>
      <c r="I662" t="s">
        <v>465</v>
      </c>
    </row>
    <row r="663" spans="1:9" ht="18.600000000000001" thickBot="1" x14ac:dyDescent="0.5">
      <c r="A663" s="86"/>
      <c r="B663" s="7"/>
      <c r="C663" s="127" t="s">
        <v>12</v>
      </c>
      <c r="D663" s="128"/>
      <c r="E663" s="19">
        <f t="shared" ref="E663" si="486">_xlfn.SWITCH(H653,1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341.14285714289883</v>
      </c>
      <c r="F663" s="3"/>
      <c r="G663" s="30"/>
    </row>
    <row r="664" spans="1:9" ht="18.600000000000001" thickBot="1" x14ac:dyDescent="0.5">
      <c r="A664" s="86"/>
      <c r="B664" s="8"/>
      <c r="C664" s="127" t="s">
        <v>13</v>
      </c>
      <c r="D664" s="128"/>
      <c r="E664" s="19">
        <f>IF(H662="",H658*0.05,H662)</f>
        <v>125.37</v>
      </c>
      <c r="F664" s="3"/>
      <c r="G664" s="30"/>
    </row>
    <row r="665" spans="1:9" ht="18.600000000000001" thickBot="1" x14ac:dyDescent="0.5">
      <c r="A665" s="86"/>
      <c r="B665" s="132" t="s">
        <v>14</v>
      </c>
      <c r="C665" s="126"/>
      <c r="D665" s="126"/>
      <c r="E665" s="19">
        <f t="shared" ref="E665" si="487">SUM(E663:E664)</f>
        <v>466.51285714289884</v>
      </c>
      <c r="F665" s="3"/>
      <c r="G665" s="30"/>
    </row>
    <row r="666" spans="1:9" ht="18.600000000000001" thickBot="1" x14ac:dyDescent="0.5">
      <c r="A666" s="97" t="s">
        <v>15</v>
      </c>
      <c r="B666" s="98"/>
      <c r="C666" s="98"/>
      <c r="D666" s="99"/>
      <c r="E666" s="20">
        <f t="shared" ref="E666" si="488">E657+E662+E665</f>
        <v>4984.8103809524273</v>
      </c>
      <c r="F666" s="3"/>
    </row>
    <row r="667" spans="1:9" ht="18.600000000000001" thickBot="1" x14ac:dyDescent="0.5">
      <c r="A667" s="6"/>
      <c r="B667" s="126" t="s">
        <v>16</v>
      </c>
      <c r="C667" s="126"/>
      <c r="D667" s="126"/>
      <c r="E667" s="19">
        <f t="shared" ref="E667" si="489">H658</f>
        <v>2507.4</v>
      </c>
      <c r="F667" s="3"/>
    </row>
    <row r="668" spans="1:9" ht="18.600000000000001" thickBot="1" x14ac:dyDescent="0.5">
      <c r="A668" s="97" t="s">
        <v>17</v>
      </c>
      <c r="B668" s="98"/>
      <c r="C668" s="98"/>
      <c r="D668" s="99"/>
      <c r="E668" s="20">
        <f t="shared" ref="E668" si="490">E667</f>
        <v>2507.4</v>
      </c>
      <c r="F668" s="3"/>
    </row>
    <row r="669" spans="1:9" ht="18.600000000000001" thickBot="1" x14ac:dyDescent="0.5">
      <c r="A669" s="96" t="s">
        <v>18</v>
      </c>
      <c r="B669" s="96"/>
      <c r="C669" s="96"/>
      <c r="D669" s="96"/>
      <c r="E669" s="14">
        <f t="shared" ref="E669" si="491">12*H653</f>
        <v>384</v>
      </c>
      <c r="F669" s="3"/>
    </row>
    <row r="670" spans="1:9" ht="18.600000000000001" thickBot="1" x14ac:dyDescent="0.5">
      <c r="A670" s="3"/>
      <c r="B670" s="3"/>
      <c r="C670" s="3"/>
      <c r="D670" s="3"/>
      <c r="E670" s="3"/>
      <c r="F670" s="3"/>
    </row>
    <row r="671" spans="1:9" ht="18.600000000000001" thickBot="1" x14ac:dyDescent="0.5">
      <c r="A671" s="12" t="s">
        <v>19</v>
      </c>
      <c r="B671" s="12"/>
      <c r="C671" s="12"/>
      <c r="D671" s="12"/>
      <c r="E671" s="15">
        <f t="shared" ref="E671" si="492">-((E668-E666)/E669)</f>
        <v>6.4515895337302789</v>
      </c>
      <c r="F671" s="3" t="s">
        <v>20</v>
      </c>
    </row>
    <row r="672" spans="1:9" x14ac:dyDescent="0.45">
      <c r="A672" s="3"/>
      <c r="B672" s="3"/>
      <c r="C672" s="3"/>
      <c r="D672" s="3"/>
      <c r="E672" s="3"/>
      <c r="F672" s="3"/>
    </row>
    <row r="673" spans="1:9" ht="18.600000000000001" thickBot="1" x14ac:dyDescent="0.5">
      <c r="A673" s="3"/>
      <c r="B673" s="3"/>
      <c r="D673" s="3"/>
      <c r="E673" s="3"/>
      <c r="F673" s="3"/>
    </row>
    <row r="674" spans="1:9" ht="18.600000000000001" thickBot="1" x14ac:dyDescent="0.5">
      <c r="A674" s="10" t="s">
        <v>4</v>
      </c>
      <c r="B674" s="3"/>
      <c r="C674" s="3"/>
      <c r="D674" s="3"/>
      <c r="E674" s="4" t="s">
        <v>1</v>
      </c>
      <c r="F674" s="4"/>
      <c r="G674" s="38" t="s">
        <v>508</v>
      </c>
      <c r="H674" s="42">
        <f t="shared" ref="H674" si="493">H653+1</f>
        <v>33</v>
      </c>
      <c r="I674" t="s">
        <v>509</v>
      </c>
    </row>
    <row r="675" spans="1:9" ht="18.600000000000001" thickBot="1" x14ac:dyDescent="0.5">
      <c r="A675" s="133" t="s">
        <v>5</v>
      </c>
      <c r="B675" s="133"/>
      <c r="C675" s="133"/>
      <c r="D675" s="133"/>
      <c r="E675" s="11" t="s">
        <v>0</v>
      </c>
      <c r="F675" s="3"/>
      <c r="G675" s="36" t="s">
        <v>464</v>
      </c>
      <c r="H675" s="37">
        <f t="shared" ref="H675:H725" si="494">H654</f>
        <v>3980</v>
      </c>
      <c r="I675" t="s">
        <v>465</v>
      </c>
    </row>
    <row r="676" spans="1:9" ht="18.600000000000001" thickBot="1" x14ac:dyDescent="0.5">
      <c r="A676" s="85"/>
      <c r="B676" s="87"/>
      <c r="C676" s="127" t="s">
        <v>3</v>
      </c>
      <c r="D676" s="128"/>
      <c r="E676" s="29">
        <f t="shared" ref="E676" si="495">IF(H678="",0,H678)</f>
        <v>0</v>
      </c>
      <c r="F676" s="3"/>
      <c r="G676" s="25" t="s">
        <v>466</v>
      </c>
      <c r="H676" s="43">
        <f t="shared" si="494"/>
        <v>0.65</v>
      </c>
      <c r="I676" t="s">
        <v>469</v>
      </c>
    </row>
    <row r="677" spans="1:9" ht="18.600000000000001" thickBot="1" x14ac:dyDescent="0.5">
      <c r="A677" s="86"/>
      <c r="B677" s="88"/>
      <c r="C677" s="127" t="s">
        <v>6</v>
      </c>
      <c r="D677" s="128"/>
      <c r="E677" s="19">
        <f>IF(H681="",$H$7*0.06,H681)</f>
        <v>238.79999999999998</v>
      </c>
      <c r="F677" s="3"/>
      <c r="G677" s="25" t="s">
        <v>467</v>
      </c>
      <c r="H677" s="37">
        <f t="shared" si="494"/>
        <v>35</v>
      </c>
      <c r="I677" t="s">
        <v>468</v>
      </c>
    </row>
    <row r="678" spans="1:9" ht="18.600000000000001" thickBot="1" x14ac:dyDescent="0.5">
      <c r="A678" s="86"/>
      <c r="B678" s="91" t="s">
        <v>7</v>
      </c>
      <c r="C678" s="92"/>
      <c r="D678" s="92"/>
      <c r="E678" s="19">
        <f t="shared" ref="E678" si="496">SUM(E676:E677)</f>
        <v>238.79999999999998</v>
      </c>
      <c r="F678" s="3"/>
      <c r="G678" s="28" t="s">
        <v>3</v>
      </c>
      <c r="H678" s="37">
        <f t="shared" si="494"/>
        <v>0</v>
      </c>
      <c r="I678" t="s">
        <v>465</v>
      </c>
    </row>
    <row r="679" spans="1:9" ht="18.600000000000001" thickBot="1" x14ac:dyDescent="0.5">
      <c r="A679" s="86"/>
      <c r="B679" s="7"/>
      <c r="C679" s="5" t="s">
        <v>8</v>
      </c>
      <c r="D679" s="5"/>
      <c r="E679" s="49">
        <f t="shared" ref="E679" si="497">_xlfn.SWITCH(H674,1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4204.8344642857201</v>
      </c>
      <c r="F679" s="3"/>
      <c r="G679" s="28" t="s">
        <v>16</v>
      </c>
      <c r="H679" s="37">
        <f>真実の家賃!$I$8*AD35</f>
        <v>2507.4</v>
      </c>
      <c r="I679" t="s">
        <v>465</v>
      </c>
    </row>
    <row r="680" spans="1:9" ht="18.600000000000001" thickBot="1" x14ac:dyDescent="0.5">
      <c r="A680" s="86"/>
      <c r="B680" s="8"/>
      <c r="C680" s="127" t="s">
        <v>2</v>
      </c>
      <c r="D680" s="128"/>
      <c r="E680" s="19">
        <f t="shared" ref="E680" si="498">IF(H682="",H674*15,H682)</f>
        <v>495</v>
      </c>
      <c r="F680" s="3"/>
      <c r="G680" s="56" t="s">
        <v>573</v>
      </c>
      <c r="H680" s="40" t="str">
        <f t="shared" si="494"/>
        <v/>
      </c>
      <c r="I680" t="s">
        <v>465</v>
      </c>
    </row>
    <row r="681" spans="1:9" ht="18.600000000000001" thickBot="1" x14ac:dyDescent="0.5">
      <c r="A681" s="86"/>
      <c r="B681" s="8"/>
      <c r="C681" s="129" t="s">
        <v>9</v>
      </c>
      <c r="D681" s="129"/>
      <c r="E681" s="19">
        <f t="shared" ref="E681" si="499">_xlfn.SWITCH(H674,1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681" s="3"/>
      <c r="G681" s="34" t="s">
        <v>6</v>
      </c>
      <c r="H681" s="40" t="str">
        <f t="shared" si="494"/>
        <v/>
      </c>
      <c r="I681" t="s">
        <v>465</v>
      </c>
    </row>
    <row r="682" spans="1:9" ht="18.600000000000001" thickBot="1" x14ac:dyDescent="0.5">
      <c r="A682" s="86"/>
      <c r="B682" s="8"/>
      <c r="C682" s="130" t="s">
        <v>10</v>
      </c>
      <c r="D682" s="131"/>
      <c r="E682" s="49">
        <f t="shared" ref="E682" si="500">IF(H680="",$Z$3,H674*H680)</f>
        <v>0</v>
      </c>
      <c r="F682" s="3"/>
      <c r="G682" s="28" t="s">
        <v>560</v>
      </c>
      <c r="H682" s="40" t="str">
        <f t="shared" si="494"/>
        <v/>
      </c>
      <c r="I682" t="s">
        <v>465</v>
      </c>
    </row>
    <row r="683" spans="1:9" ht="18.600000000000001" thickBot="1" x14ac:dyDescent="0.5">
      <c r="A683" s="86"/>
      <c r="B683" s="132" t="s">
        <v>11</v>
      </c>
      <c r="C683" s="126"/>
      <c r="D683" s="126"/>
      <c r="E683" s="19">
        <f t="shared" ref="E683" si="501">SUM(E679:E682)</f>
        <v>4410.0904642857186</v>
      </c>
      <c r="F683" s="3"/>
      <c r="G683" s="33" t="s">
        <v>561</v>
      </c>
      <c r="H683" s="41" t="str">
        <f t="shared" si="494"/>
        <v/>
      </c>
      <c r="I683" t="s">
        <v>465</v>
      </c>
    </row>
    <row r="684" spans="1:9" ht="18.600000000000001" thickBot="1" x14ac:dyDescent="0.5">
      <c r="A684" s="86"/>
      <c r="B684" s="7"/>
      <c r="C684" s="127" t="s">
        <v>12</v>
      </c>
      <c r="D684" s="128"/>
      <c r="E684" s="19">
        <f t="shared" ref="E684" si="502">_xlfn.SWITCH(H674,1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227.428571428613</v>
      </c>
      <c r="F684" s="3"/>
      <c r="G684" s="30"/>
    </row>
    <row r="685" spans="1:9" ht="18.600000000000001" thickBot="1" x14ac:dyDescent="0.5">
      <c r="A685" s="86"/>
      <c r="B685" s="8"/>
      <c r="C685" s="127" t="s">
        <v>13</v>
      </c>
      <c r="D685" s="128"/>
      <c r="E685" s="19">
        <f>IF(H683="",H679*0.05,H683)</f>
        <v>125.37</v>
      </c>
      <c r="F685" s="3"/>
      <c r="G685" s="30"/>
    </row>
    <row r="686" spans="1:9" ht="18.600000000000001" thickBot="1" x14ac:dyDescent="0.5">
      <c r="A686" s="86"/>
      <c r="B686" s="132" t="s">
        <v>14</v>
      </c>
      <c r="C686" s="126"/>
      <c r="D686" s="126"/>
      <c r="E686" s="19">
        <f t="shared" ref="E686" si="503">SUM(E684:E685)</f>
        <v>352.798571428613</v>
      </c>
      <c r="F686" s="3"/>
      <c r="G686" s="30"/>
    </row>
    <row r="687" spans="1:9" ht="18.600000000000001" thickBot="1" x14ac:dyDescent="0.5">
      <c r="A687" s="97" t="s">
        <v>15</v>
      </c>
      <c r="B687" s="98"/>
      <c r="C687" s="98"/>
      <c r="D687" s="99"/>
      <c r="E687" s="20">
        <f t="shared" ref="E687" si="504">E678+E683+E686</f>
        <v>5001.689035714332</v>
      </c>
      <c r="F687" s="3"/>
    </row>
    <row r="688" spans="1:9" ht="18.600000000000001" thickBot="1" x14ac:dyDescent="0.5">
      <c r="A688" s="6"/>
      <c r="B688" s="126" t="s">
        <v>16</v>
      </c>
      <c r="C688" s="126"/>
      <c r="D688" s="126"/>
      <c r="E688" s="19">
        <f t="shared" ref="E688" si="505">H679</f>
        <v>2507.4</v>
      </c>
      <c r="F688" s="3"/>
    </row>
    <row r="689" spans="1:9" ht="18.600000000000001" thickBot="1" x14ac:dyDescent="0.5">
      <c r="A689" s="97" t="s">
        <v>17</v>
      </c>
      <c r="B689" s="98"/>
      <c r="C689" s="98"/>
      <c r="D689" s="99"/>
      <c r="E689" s="20">
        <f t="shared" ref="E689" si="506">E688</f>
        <v>2507.4</v>
      </c>
      <c r="F689" s="3"/>
    </row>
    <row r="690" spans="1:9" ht="18.600000000000001" thickBot="1" x14ac:dyDescent="0.5">
      <c r="A690" s="96" t="s">
        <v>18</v>
      </c>
      <c r="B690" s="96"/>
      <c r="C690" s="96"/>
      <c r="D690" s="96"/>
      <c r="E690" s="14">
        <f t="shared" ref="E690" si="507">12*H674</f>
        <v>396</v>
      </c>
      <c r="F690" s="3"/>
    </row>
    <row r="691" spans="1:9" ht="18.600000000000001" thickBot="1" x14ac:dyDescent="0.5">
      <c r="A691" s="3"/>
      <c r="B691" s="3"/>
      <c r="C691" s="3"/>
      <c r="D691" s="3"/>
      <c r="E691" s="3"/>
      <c r="F691" s="3"/>
    </row>
    <row r="692" spans="1:9" ht="18.600000000000001" thickBot="1" x14ac:dyDescent="0.5">
      <c r="A692" s="12" t="s">
        <v>19</v>
      </c>
      <c r="B692" s="12"/>
      <c r="C692" s="12"/>
      <c r="D692" s="12"/>
      <c r="E692" s="15">
        <f t="shared" ref="E692" si="508">-((E689-E687)/E690)</f>
        <v>6.2987096861473031</v>
      </c>
      <c r="F692" s="3" t="s">
        <v>20</v>
      </c>
    </row>
    <row r="693" spans="1:9" x14ac:dyDescent="0.45">
      <c r="A693" s="3"/>
      <c r="B693" s="3"/>
      <c r="C693" s="3"/>
      <c r="D693" s="3"/>
      <c r="E693" s="3"/>
      <c r="F693" s="3"/>
    </row>
    <row r="694" spans="1:9" ht="18.600000000000001" thickBot="1" x14ac:dyDescent="0.5">
      <c r="A694" s="3"/>
      <c r="B694" s="3"/>
      <c r="D694" s="3"/>
      <c r="E694" s="3"/>
      <c r="F694" s="3"/>
    </row>
    <row r="695" spans="1:9" ht="18.600000000000001" thickBot="1" x14ac:dyDescent="0.5">
      <c r="A695" s="10" t="s">
        <v>4</v>
      </c>
      <c r="B695" s="3"/>
      <c r="C695" s="3"/>
      <c r="D695" s="3"/>
      <c r="E695" s="4" t="s">
        <v>1</v>
      </c>
      <c r="F695" s="4"/>
      <c r="G695" s="38" t="s">
        <v>508</v>
      </c>
      <c r="H695" s="42">
        <f t="shared" ref="H695" si="509">H674+1</f>
        <v>34</v>
      </c>
      <c r="I695" t="s">
        <v>509</v>
      </c>
    </row>
    <row r="696" spans="1:9" ht="18.600000000000001" thickBot="1" x14ac:dyDescent="0.5">
      <c r="A696" s="133" t="s">
        <v>5</v>
      </c>
      <c r="B696" s="133"/>
      <c r="C696" s="133"/>
      <c r="D696" s="133"/>
      <c r="E696" s="11" t="s">
        <v>0</v>
      </c>
      <c r="F696" s="3"/>
      <c r="G696" s="36" t="s">
        <v>464</v>
      </c>
      <c r="H696" s="37">
        <f t="shared" ref="H696:H701" si="510">H675</f>
        <v>3980</v>
      </c>
      <c r="I696" t="s">
        <v>465</v>
      </c>
    </row>
    <row r="697" spans="1:9" ht="18.600000000000001" thickBot="1" x14ac:dyDescent="0.5">
      <c r="A697" s="85"/>
      <c r="B697" s="87"/>
      <c r="C697" s="127" t="s">
        <v>3</v>
      </c>
      <c r="D697" s="128"/>
      <c r="E697" s="29">
        <f t="shared" ref="E697" si="511">IF(H699="",0,H699)</f>
        <v>0</v>
      </c>
      <c r="F697" s="3"/>
      <c r="G697" s="25" t="s">
        <v>466</v>
      </c>
      <c r="H697" s="43">
        <f t="shared" si="510"/>
        <v>0.65</v>
      </c>
      <c r="I697" t="s">
        <v>469</v>
      </c>
    </row>
    <row r="698" spans="1:9" ht="18.600000000000001" thickBot="1" x14ac:dyDescent="0.5">
      <c r="A698" s="86"/>
      <c r="B698" s="88"/>
      <c r="C698" s="127" t="s">
        <v>6</v>
      </c>
      <c r="D698" s="128"/>
      <c r="E698" s="19">
        <f>IF(H702="",$H$7*0.06,H702)</f>
        <v>238.79999999999998</v>
      </c>
      <c r="F698" s="3"/>
      <c r="G698" s="25" t="s">
        <v>467</v>
      </c>
      <c r="H698" s="37">
        <f t="shared" si="510"/>
        <v>35</v>
      </c>
      <c r="I698" t="s">
        <v>468</v>
      </c>
    </row>
    <row r="699" spans="1:9" ht="18.600000000000001" thickBot="1" x14ac:dyDescent="0.5">
      <c r="A699" s="86"/>
      <c r="B699" s="91" t="s">
        <v>7</v>
      </c>
      <c r="C699" s="92"/>
      <c r="D699" s="92"/>
      <c r="E699" s="19">
        <f t="shared" ref="E699" si="512">SUM(E697:E698)</f>
        <v>238.79999999999998</v>
      </c>
      <c r="F699" s="3"/>
      <c r="G699" s="28" t="s">
        <v>3</v>
      </c>
      <c r="H699" s="37">
        <f t="shared" si="510"/>
        <v>0</v>
      </c>
      <c r="I699" t="s">
        <v>465</v>
      </c>
    </row>
    <row r="700" spans="1:9" ht="18.600000000000001" thickBot="1" x14ac:dyDescent="0.5">
      <c r="A700" s="86"/>
      <c r="B700" s="7"/>
      <c r="C700" s="5" t="s">
        <v>8</v>
      </c>
      <c r="D700" s="5"/>
      <c r="E700" s="49">
        <f t="shared" ref="E700" si="513">_xlfn.SWITCH(H695,1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4319.6882619047683</v>
      </c>
      <c r="F700" s="3"/>
      <c r="G700" s="28" t="s">
        <v>16</v>
      </c>
      <c r="H700" s="37">
        <f>真実の家賃!$I$8*AD36</f>
        <v>2507.4</v>
      </c>
      <c r="I700" t="s">
        <v>465</v>
      </c>
    </row>
    <row r="701" spans="1:9" ht="18.600000000000001" thickBot="1" x14ac:dyDescent="0.5">
      <c r="A701" s="86"/>
      <c r="B701" s="8"/>
      <c r="C701" s="127" t="s">
        <v>2</v>
      </c>
      <c r="D701" s="128"/>
      <c r="E701" s="19">
        <f t="shared" ref="E701" si="514">IF(H703="",H695*15,H703)</f>
        <v>510</v>
      </c>
      <c r="F701" s="3"/>
      <c r="G701" s="56" t="s">
        <v>573</v>
      </c>
      <c r="H701" s="40" t="str">
        <f t="shared" si="510"/>
        <v/>
      </c>
      <c r="I701" t="s">
        <v>465</v>
      </c>
    </row>
    <row r="702" spans="1:9" ht="18.600000000000001" thickBot="1" x14ac:dyDescent="0.5">
      <c r="A702" s="86"/>
      <c r="B702" s="8"/>
      <c r="C702" s="129" t="s">
        <v>9</v>
      </c>
      <c r="D702" s="129"/>
      <c r="E702" s="19">
        <f t="shared" ref="E702" si="515">_xlfn.SWITCH(H695,1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702" s="3"/>
      <c r="G702" s="34" t="s">
        <v>6</v>
      </c>
      <c r="H702" s="40" t="str">
        <f t="shared" si="478"/>
        <v/>
      </c>
      <c r="I702" t="s">
        <v>465</v>
      </c>
    </row>
    <row r="703" spans="1:9" ht="18.600000000000001" thickBot="1" x14ac:dyDescent="0.5">
      <c r="A703" s="86"/>
      <c r="B703" s="8"/>
      <c r="C703" s="130" t="s">
        <v>10</v>
      </c>
      <c r="D703" s="131"/>
      <c r="E703" s="49">
        <f t="shared" ref="E703" si="516">IF(H701="",$Z$3,H695*H701)</f>
        <v>0</v>
      </c>
      <c r="F703" s="3"/>
      <c r="G703" s="28" t="s">
        <v>560</v>
      </c>
      <c r="H703" s="40" t="str">
        <f t="shared" si="478"/>
        <v/>
      </c>
      <c r="I703" t="s">
        <v>465</v>
      </c>
    </row>
    <row r="704" spans="1:9" ht="18.600000000000001" thickBot="1" x14ac:dyDescent="0.5">
      <c r="A704" s="86"/>
      <c r="B704" s="132" t="s">
        <v>11</v>
      </c>
      <c r="C704" s="126"/>
      <c r="D704" s="126"/>
      <c r="E704" s="19">
        <f t="shared" ref="E704" si="517">SUM(E700:E703)</f>
        <v>4539.9442619047668</v>
      </c>
      <c r="F704" s="3"/>
      <c r="G704" s="33" t="s">
        <v>561</v>
      </c>
      <c r="H704" s="41" t="str">
        <f t="shared" si="478"/>
        <v/>
      </c>
      <c r="I704" t="s">
        <v>465</v>
      </c>
    </row>
    <row r="705" spans="1:9" ht="18.600000000000001" thickBot="1" x14ac:dyDescent="0.5">
      <c r="A705" s="86"/>
      <c r="B705" s="7"/>
      <c r="C705" s="127" t="s">
        <v>12</v>
      </c>
      <c r="D705" s="128"/>
      <c r="E705" s="19">
        <f t="shared" ref="E705" si="518">_xlfn.SWITCH(H695,1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113.71428571432718</v>
      </c>
      <c r="F705" s="3"/>
      <c r="G705" s="30"/>
    </row>
    <row r="706" spans="1:9" ht="18.600000000000001" thickBot="1" x14ac:dyDescent="0.5">
      <c r="A706" s="86"/>
      <c r="B706" s="8"/>
      <c r="C706" s="127" t="s">
        <v>13</v>
      </c>
      <c r="D706" s="128"/>
      <c r="E706" s="19">
        <f>IF(H704="",H700*0.05,H704)</f>
        <v>125.37</v>
      </c>
      <c r="F706" s="3"/>
      <c r="G706" s="30"/>
    </row>
    <row r="707" spans="1:9" ht="18.600000000000001" thickBot="1" x14ac:dyDescent="0.5">
      <c r="A707" s="86"/>
      <c r="B707" s="132" t="s">
        <v>14</v>
      </c>
      <c r="C707" s="126"/>
      <c r="D707" s="126"/>
      <c r="E707" s="19">
        <f t="shared" ref="E707" si="519">SUM(E705:E706)</f>
        <v>239.08428571432717</v>
      </c>
      <c r="F707" s="3"/>
      <c r="G707" s="30"/>
    </row>
    <row r="708" spans="1:9" ht="18.600000000000001" thickBot="1" x14ac:dyDescent="0.5">
      <c r="A708" s="97" t="s">
        <v>15</v>
      </c>
      <c r="B708" s="98"/>
      <c r="C708" s="98"/>
      <c r="D708" s="99"/>
      <c r="E708" s="20">
        <f t="shared" ref="E708" si="520">E699+E704+E707</f>
        <v>5017.828547619094</v>
      </c>
      <c r="F708" s="3"/>
    </row>
    <row r="709" spans="1:9" ht="18.600000000000001" thickBot="1" x14ac:dyDescent="0.5">
      <c r="A709" s="6"/>
      <c r="B709" s="126" t="s">
        <v>16</v>
      </c>
      <c r="C709" s="126"/>
      <c r="D709" s="126"/>
      <c r="E709" s="19">
        <f t="shared" ref="E709" si="521">H700</f>
        <v>2507.4</v>
      </c>
      <c r="F709" s="3"/>
    </row>
    <row r="710" spans="1:9" ht="18.600000000000001" thickBot="1" x14ac:dyDescent="0.5">
      <c r="A710" s="97" t="s">
        <v>17</v>
      </c>
      <c r="B710" s="98"/>
      <c r="C710" s="98"/>
      <c r="D710" s="99"/>
      <c r="E710" s="20">
        <f t="shared" ref="E710" si="522">E709</f>
        <v>2507.4</v>
      </c>
      <c r="F710" s="3"/>
    </row>
    <row r="711" spans="1:9" ht="18.600000000000001" thickBot="1" x14ac:dyDescent="0.5">
      <c r="A711" s="96" t="s">
        <v>18</v>
      </c>
      <c r="B711" s="96"/>
      <c r="C711" s="96"/>
      <c r="D711" s="96"/>
      <c r="E711" s="14">
        <f t="shared" ref="E711" si="523">12*H695</f>
        <v>408</v>
      </c>
      <c r="F711" s="3"/>
    </row>
    <row r="712" spans="1:9" ht="18.600000000000001" thickBot="1" x14ac:dyDescent="0.5">
      <c r="A712" s="3"/>
      <c r="B712" s="3"/>
      <c r="C712" s="3"/>
      <c r="D712" s="3"/>
      <c r="E712" s="3"/>
      <c r="F712" s="3"/>
    </row>
    <row r="713" spans="1:9" ht="18.600000000000001" thickBot="1" x14ac:dyDescent="0.5">
      <c r="A713" s="12" t="s">
        <v>19</v>
      </c>
      <c r="B713" s="12"/>
      <c r="C713" s="12"/>
      <c r="D713" s="12"/>
      <c r="E713" s="15">
        <f t="shared" ref="E713" si="524">-((E710-E708)/E711)</f>
        <v>6.1530111461252304</v>
      </c>
      <c r="F713" s="3" t="s">
        <v>20</v>
      </c>
    </row>
    <row r="714" spans="1:9" x14ac:dyDescent="0.45">
      <c r="A714" s="3"/>
      <c r="B714" s="3"/>
      <c r="C714" s="3"/>
      <c r="D714" s="3"/>
      <c r="E714" s="3"/>
      <c r="F714" s="3"/>
    </row>
    <row r="715" spans="1:9" ht="18.600000000000001" thickBot="1" x14ac:dyDescent="0.5">
      <c r="A715" s="3"/>
      <c r="B715" s="3"/>
      <c r="D715" s="3"/>
      <c r="E715" s="3"/>
      <c r="F715" s="3"/>
    </row>
    <row r="716" spans="1:9" ht="18.600000000000001" thickBot="1" x14ac:dyDescent="0.5">
      <c r="A716" s="10" t="s">
        <v>4</v>
      </c>
      <c r="B716" s="3"/>
      <c r="C716" s="3"/>
      <c r="D716" s="3"/>
      <c r="E716" s="4" t="s">
        <v>1</v>
      </c>
      <c r="F716" s="4"/>
      <c r="G716" s="38" t="s">
        <v>508</v>
      </c>
      <c r="H716" s="42">
        <f t="shared" ref="H716" si="525">H695+1</f>
        <v>35</v>
      </c>
      <c r="I716" t="s">
        <v>509</v>
      </c>
    </row>
    <row r="717" spans="1:9" ht="18.600000000000001" thickBot="1" x14ac:dyDescent="0.5">
      <c r="A717" s="133" t="s">
        <v>5</v>
      </c>
      <c r="B717" s="133"/>
      <c r="C717" s="133"/>
      <c r="D717" s="133"/>
      <c r="E717" s="11" t="s">
        <v>0</v>
      </c>
      <c r="F717" s="3"/>
      <c r="G717" s="36" t="s">
        <v>464</v>
      </c>
      <c r="H717" s="37">
        <f t="shared" ref="H717:H722" si="526">H696</f>
        <v>3980</v>
      </c>
      <c r="I717" t="s">
        <v>465</v>
      </c>
    </row>
    <row r="718" spans="1:9" ht="18.600000000000001" thickBot="1" x14ac:dyDescent="0.5">
      <c r="A718" s="85"/>
      <c r="B718" s="87"/>
      <c r="C718" s="127" t="s">
        <v>3</v>
      </c>
      <c r="D718" s="128"/>
      <c r="E718" s="29">
        <f t="shared" ref="E718" si="527">IF(H720="",0,H720)</f>
        <v>0</v>
      </c>
      <c r="F718" s="3"/>
      <c r="G718" s="25" t="s">
        <v>466</v>
      </c>
      <c r="H718" s="43">
        <f t="shared" si="526"/>
        <v>0.65</v>
      </c>
      <c r="I718" t="s">
        <v>469</v>
      </c>
    </row>
    <row r="719" spans="1:9" ht="18.600000000000001" thickBot="1" x14ac:dyDescent="0.5">
      <c r="A719" s="86"/>
      <c r="B719" s="88"/>
      <c r="C719" s="127" t="s">
        <v>6</v>
      </c>
      <c r="D719" s="128"/>
      <c r="E719" s="19">
        <f>IF(H723="",$H$7*0.06,H723)</f>
        <v>238.79999999999998</v>
      </c>
      <c r="F719" s="3"/>
      <c r="G719" s="25" t="s">
        <v>467</v>
      </c>
      <c r="H719" s="37">
        <f t="shared" si="526"/>
        <v>35</v>
      </c>
      <c r="I719" t="s">
        <v>468</v>
      </c>
    </row>
    <row r="720" spans="1:9" ht="18.600000000000001" thickBot="1" x14ac:dyDescent="0.5">
      <c r="A720" s="86"/>
      <c r="B720" s="91" t="s">
        <v>7</v>
      </c>
      <c r="C720" s="92"/>
      <c r="D720" s="92"/>
      <c r="E720" s="19">
        <f t="shared" ref="E720" si="528">SUM(E718:E719)</f>
        <v>238.79999999999998</v>
      </c>
      <c r="F720" s="3"/>
      <c r="G720" s="28" t="s">
        <v>3</v>
      </c>
      <c r="H720" s="37">
        <f t="shared" si="526"/>
        <v>0</v>
      </c>
      <c r="I720" t="s">
        <v>465</v>
      </c>
    </row>
    <row r="721" spans="1:9" ht="18.600000000000001" thickBot="1" x14ac:dyDescent="0.5">
      <c r="A721" s="86"/>
      <c r="B721" s="7"/>
      <c r="C721" s="5" t="s">
        <v>8</v>
      </c>
      <c r="D721" s="5"/>
      <c r="E721" s="49">
        <f t="shared" ref="E721" si="529">_xlfn.SWITCH(H716,1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721" s="3"/>
      <c r="G721" s="28" t="s">
        <v>16</v>
      </c>
      <c r="H721" s="37">
        <f>真実の家賃!$I$8*AD37</f>
        <v>2507.4</v>
      </c>
      <c r="I721" t="s">
        <v>465</v>
      </c>
    </row>
    <row r="722" spans="1:9" ht="18.600000000000001" thickBot="1" x14ac:dyDescent="0.5">
      <c r="A722" s="86"/>
      <c r="B722" s="8"/>
      <c r="C722" s="127" t="s">
        <v>2</v>
      </c>
      <c r="D722" s="128"/>
      <c r="E722" s="19">
        <f t="shared" ref="E722" si="530">IF(H724="",H716*15,H724)</f>
        <v>525</v>
      </c>
      <c r="F722" s="3"/>
      <c r="G722" s="56" t="s">
        <v>573</v>
      </c>
      <c r="H722" s="40" t="str">
        <f t="shared" si="526"/>
        <v/>
      </c>
      <c r="I722" t="s">
        <v>465</v>
      </c>
    </row>
    <row r="723" spans="1:9" ht="18.600000000000001" thickBot="1" x14ac:dyDescent="0.5">
      <c r="A723" s="86"/>
      <c r="B723" s="8"/>
      <c r="C723" s="129" t="s">
        <v>9</v>
      </c>
      <c r="D723" s="129"/>
      <c r="E723" s="19">
        <f t="shared" ref="E723" si="531">_xlfn.SWITCH(H716,1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723" s="3"/>
      <c r="G723" s="34" t="s">
        <v>6</v>
      </c>
      <c r="H723" s="40" t="str">
        <f t="shared" si="494"/>
        <v/>
      </c>
      <c r="I723" t="s">
        <v>465</v>
      </c>
    </row>
    <row r="724" spans="1:9" ht="18.600000000000001" thickBot="1" x14ac:dyDescent="0.5">
      <c r="A724" s="86"/>
      <c r="B724" s="8"/>
      <c r="C724" s="130" t="s">
        <v>10</v>
      </c>
      <c r="D724" s="131"/>
      <c r="E724" s="49">
        <f t="shared" ref="E724" si="532">IF(H722="",$Z$3,H716*H722)</f>
        <v>0</v>
      </c>
      <c r="F724" s="3"/>
      <c r="G724" s="28" t="s">
        <v>560</v>
      </c>
      <c r="H724" s="40" t="str">
        <f t="shared" si="494"/>
        <v/>
      </c>
      <c r="I724" t="s">
        <v>465</v>
      </c>
    </row>
    <row r="725" spans="1:9" ht="18.600000000000001" thickBot="1" x14ac:dyDescent="0.5">
      <c r="A725" s="86"/>
      <c r="B725" s="132" t="s">
        <v>11</v>
      </c>
      <c r="C725" s="126"/>
      <c r="D725" s="126"/>
      <c r="E725" s="19">
        <f t="shared" ref="E725" si="533">SUM(E721:E724)</f>
        <v>4669.0589166666723</v>
      </c>
      <c r="F725" s="3"/>
      <c r="G725" s="33" t="s">
        <v>561</v>
      </c>
      <c r="H725" s="41" t="str">
        <f t="shared" si="494"/>
        <v/>
      </c>
      <c r="I725" t="s">
        <v>465</v>
      </c>
    </row>
    <row r="726" spans="1:9" ht="18.600000000000001" thickBot="1" x14ac:dyDescent="0.5">
      <c r="A726" s="86"/>
      <c r="B726" s="7"/>
      <c r="C726" s="127" t="s">
        <v>12</v>
      </c>
      <c r="D726" s="128"/>
      <c r="E726" s="19">
        <f t="shared" ref="E726" si="534">_xlfn.SWITCH(H716,1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4.1481689549982548E-11</v>
      </c>
      <c r="F726" s="3"/>
      <c r="G726" s="30"/>
    </row>
    <row r="727" spans="1:9" ht="18.600000000000001" thickBot="1" x14ac:dyDescent="0.5">
      <c r="A727" s="86"/>
      <c r="B727" s="8"/>
      <c r="C727" s="127" t="s">
        <v>13</v>
      </c>
      <c r="D727" s="128"/>
      <c r="E727" s="19">
        <f>IF(H725="",H721*0.05,H725)</f>
        <v>125.37</v>
      </c>
      <c r="F727" s="3"/>
      <c r="G727" s="30"/>
    </row>
    <row r="728" spans="1:9" ht="18.600000000000001" thickBot="1" x14ac:dyDescent="0.5">
      <c r="A728" s="86"/>
      <c r="B728" s="132" t="s">
        <v>14</v>
      </c>
      <c r="C728" s="126"/>
      <c r="D728" s="126"/>
      <c r="E728" s="19">
        <f t="shared" ref="E728" si="535">SUM(E726:E727)</f>
        <v>125.37000000004149</v>
      </c>
      <c r="F728" s="3"/>
      <c r="G728" s="30"/>
    </row>
    <row r="729" spans="1:9" ht="18.600000000000001" thickBot="1" x14ac:dyDescent="0.5">
      <c r="A729" s="97" t="s">
        <v>15</v>
      </c>
      <c r="B729" s="98"/>
      <c r="C729" s="98"/>
      <c r="D729" s="99"/>
      <c r="E729" s="20">
        <f t="shared" ref="E729" si="536">E720+E725+E728</f>
        <v>5033.2289166667142</v>
      </c>
      <c r="F729" s="3"/>
    </row>
    <row r="730" spans="1:9" ht="18.600000000000001" thickBot="1" x14ac:dyDescent="0.5">
      <c r="A730" s="6"/>
      <c r="B730" s="126" t="s">
        <v>16</v>
      </c>
      <c r="C730" s="126"/>
      <c r="D730" s="126"/>
      <c r="E730" s="19">
        <f t="shared" ref="E730" si="537">H721</f>
        <v>2507.4</v>
      </c>
      <c r="F730" s="3"/>
    </row>
    <row r="731" spans="1:9" ht="18.600000000000001" thickBot="1" x14ac:dyDescent="0.5">
      <c r="A731" s="97" t="s">
        <v>17</v>
      </c>
      <c r="B731" s="98"/>
      <c r="C731" s="98"/>
      <c r="D731" s="99"/>
      <c r="E731" s="20">
        <f t="shared" ref="E731" si="538">E730</f>
        <v>2507.4</v>
      </c>
      <c r="F731" s="3"/>
    </row>
    <row r="732" spans="1:9" ht="18.600000000000001" thickBot="1" x14ac:dyDescent="0.5">
      <c r="A732" s="96" t="s">
        <v>18</v>
      </c>
      <c r="B732" s="96"/>
      <c r="C732" s="96"/>
      <c r="D732" s="96"/>
      <c r="E732" s="14">
        <f t="shared" ref="E732" si="539">12*H716</f>
        <v>420</v>
      </c>
      <c r="F732" s="3"/>
    </row>
    <row r="733" spans="1:9" ht="18.600000000000001" thickBot="1" x14ac:dyDescent="0.5">
      <c r="A733" s="3"/>
      <c r="B733" s="3"/>
      <c r="C733" s="3"/>
      <c r="D733" s="3"/>
      <c r="E733" s="3"/>
      <c r="F733" s="3"/>
    </row>
    <row r="734" spans="1:9" ht="18.600000000000001" thickBot="1" x14ac:dyDescent="0.5">
      <c r="A734" s="12" t="s">
        <v>19</v>
      </c>
      <c r="B734" s="12"/>
      <c r="C734" s="12"/>
      <c r="D734" s="12"/>
      <c r="E734" s="15">
        <f t="shared" ref="E734" si="540">-((E731-E729)/E732)</f>
        <v>6.0138783730159862</v>
      </c>
      <c r="F734" s="3" t="s">
        <v>20</v>
      </c>
    </row>
    <row r="735" spans="1:9" x14ac:dyDescent="0.45">
      <c r="A735" s="3"/>
      <c r="B735" s="3"/>
      <c r="C735" s="3"/>
      <c r="D735" s="3"/>
      <c r="E735" s="3"/>
      <c r="F735" s="3"/>
    </row>
    <row r="736" spans="1:9" ht="18.600000000000001" thickBot="1" x14ac:dyDescent="0.5">
      <c r="A736" s="3"/>
      <c r="B736" s="3"/>
      <c r="D736" s="3"/>
      <c r="E736" s="3"/>
      <c r="F736" s="3"/>
    </row>
    <row r="737" spans="1:9" ht="18.600000000000001" thickBot="1" x14ac:dyDescent="0.5">
      <c r="A737" s="10" t="s">
        <v>4</v>
      </c>
      <c r="B737" s="3"/>
      <c r="C737" s="3"/>
      <c r="D737" s="3"/>
      <c r="E737" s="4" t="s">
        <v>1</v>
      </c>
      <c r="F737" s="4"/>
      <c r="G737" s="38" t="s">
        <v>508</v>
      </c>
      <c r="H737" s="42">
        <f t="shared" ref="H737" si="541">H716+1</f>
        <v>36</v>
      </c>
      <c r="I737" t="s">
        <v>509</v>
      </c>
    </row>
    <row r="738" spans="1:9" ht="18.600000000000001" thickBot="1" x14ac:dyDescent="0.5">
      <c r="A738" s="133" t="s">
        <v>5</v>
      </c>
      <c r="B738" s="133"/>
      <c r="C738" s="133"/>
      <c r="D738" s="133"/>
      <c r="E738" s="11" t="s">
        <v>0</v>
      </c>
      <c r="F738" s="3"/>
      <c r="G738" s="36" t="s">
        <v>464</v>
      </c>
      <c r="H738" s="37">
        <f t="shared" ref="H738:H788" si="542">H717</f>
        <v>3980</v>
      </c>
      <c r="I738" t="s">
        <v>465</v>
      </c>
    </row>
    <row r="739" spans="1:9" ht="18.600000000000001" thickBot="1" x14ac:dyDescent="0.5">
      <c r="A739" s="85"/>
      <c r="B739" s="87"/>
      <c r="C739" s="127" t="s">
        <v>3</v>
      </c>
      <c r="D739" s="128"/>
      <c r="E739" s="29">
        <f t="shared" ref="E739" si="543">IF(H741="",0,H741)</f>
        <v>0</v>
      </c>
      <c r="F739" s="3"/>
      <c r="G739" s="25" t="s">
        <v>466</v>
      </c>
      <c r="H739" s="43">
        <f t="shared" si="542"/>
        <v>0.65</v>
      </c>
      <c r="I739" t="s">
        <v>469</v>
      </c>
    </row>
    <row r="740" spans="1:9" ht="18.600000000000001" thickBot="1" x14ac:dyDescent="0.5">
      <c r="A740" s="86"/>
      <c r="B740" s="88"/>
      <c r="C740" s="127" t="s">
        <v>6</v>
      </c>
      <c r="D740" s="128"/>
      <c r="E740" s="19">
        <f>IF(H744="",$H$7*0.06,H744)</f>
        <v>238.79999999999998</v>
      </c>
      <c r="F740" s="3"/>
      <c r="G740" s="25" t="s">
        <v>467</v>
      </c>
      <c r="H740" s="37">
        <f t="shared" si="542"/>
        <v>35</v>
      </c>
      <c r="I740" t="s">
        <v>468</v>
      </c>
    </row>
    <row r="741" spans="1:9" ht="18.600000000000001" thickBot="1" x14ac:dyDescent="0.5">
      <c r="A741" s="86"/>
      <c r="B741" s="91" t="s">
        <v>7</v>
      </c>
      <c r="C741" s="92"/>
      <c r="D741" s="92"/>
      <c r="E741" s="19">
        <f t="shared" ref="E741" si="544">SUM(E739:E740)</f>
        <v>238.79999999999998</v>
      </c>
      <c r="F741" s="3"/>
      <c r="G741" s="28" t="s">
        <v>3</v>
      </c>
      <c r="H741" s="37">
        <f t="shared" si="542"/>
        <v>0</v>
      </c>
      <c r="I741" t="s">
        <v>465</v>
      </c>
    </row>
    <row r="742" spans="1:9" ht="18.600000000000001" thickBot="1" x14ac:dyDescent="0.5">
      <c r="A742" s="86"/>
      <c r="B742" s="7"/>
      <c r="C742" s="5" t="s">
        <v>8</v>
      </c>
      <c r="D742" s="5"/>
      <c r="E742" s="49">
        <f t="shared" ref="E742" si="545">_xlfn.SWITCH(H737,1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742" s="3"/>
      <c r="G742" s="28" t="s">
        <v>16</v>
      </c>
      <c r="H742" s="37">
        <f>真実の家賃!$I$8*AD38</f>
        <v>2507.4</v>
      </c>
      <c r="I742" t="s">
        <v>465</v>
      </c>
    </row>
    <row r="743" spans="1:9" ht="18.600000000000001" thickBot="1" x14ac:dyDescent="0.5">
      <c r="A743" s="86"/>
      <c r="B743" s="8"/>
      <c r="C743" s="127" t="s">
        <v>2</v>
      </c>
      <c r="D743" s="128"/>
      <c r="E743" s="19">
        <f t="shared" ref="E743" si="546">IF(H745="",H737*15,H745)</f>
        <v>540</v>
      </c>
      <c r="F743" s="3"/>
      <c r="G743" s="56" t="s">
        <v>573</v>
      </c>
      <c r="H743" s="40" t="str">
        <f t="shared" si="542"/>
        <v/>
      </c>
      <c r="I743" t="s">
        <v>465</v>
      </c>
    </row>
    <row r="744" spans="1:9" ht="18.600000000000001" thickBot="1" x14ac:dyDescent="0.5">
      <c r="A744" s="86"/>
      <c r="B744" s="8"/>
      <c r="C744" s="129" t="s">
        <v>9</v>
      </c>
      <c r="D744" s="129"/>
      <c r="E744" s="19">
        <f t="shared" ref="E744" si="547">_xlfn.SWITCH(H737,1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744" s="3"/>
      <c r="G744" s="34" t="s">
        <v>6</v>
      </c>
      <c r="H744" s="40" t="str">
        <f t="shared" si="542"/>
        <v/>
      </c>
      <c r="I744" t="s">
        <v>465</v>
      </c>
    </row>
    <row r="745" spans="1:9" ht="18.600000000000001" thickBot="1" x14ac:dyDescent="0.5">
      <c r="A745" s="86"/>
      <c r="B745" s="8"/>
      <c r="C745" s="130" t="s">
        <v>10</v>
      </c>
      <c r="D745" s="131"/>
      <c r="E745" s="49">
        <f t="shared" ref="E745" si="548">IF(H743="",$Z$3,H737*H743)</f>
        <v>0</v>
      </c>
      <c r="F745" s="3"/>
      <c r="G745" s="28" t="s">
        <v>560</v>
      </c>
      <c r="H745" s="40" t="str">
        <f t="shared" si="542"/>
        <v/>
      </c>
      <c r="I745" t="s">
        <v>465</v>
      </c>
    </row>
    <row r="746" spans="1:9" ht="18.600000000000001" thickBot="1" x14ac:dyDescent="0.5">
      <c r="A746" s="86"/>
      <c r="B746" s="132" t="s">
        <v>11</v>
      </c>
      <c r="C746" s="126"/>
      <c r="D746" s="126"/>
      <c r="E746" s="19">
        <f t="shared" ref="E746" si="549">SUM(E742:E745)</f>
        <v>4684.0589166666723</v>
      </c>
      <c r="F746" s="3"/>
      <c r="G746" s="33" t="s">
        <v>561</v>
      </c>
      <c r="H746" s="41" t="str">
        <f t="shared" si="542"/>
        <v/>
      </c>
      <c r="I746" t="s">
        <v>465</v>
      </c>
    </row>
    <row r="747" spans="1:9" ht="18.600000000000001" thickBot="1" x14ac:dyDescent="0.5">
      <c r="A747" s="86"/>
      <c r="B747" s="7"/>
      <c r="C747" s="127" t="s">
        <v>12</v>
      </c>
      <c r="D747" s="128"/>
      <c r="E747" s="19">
        <f t="shared" ref="E747" si="550">_xlfn.SWITCH(H737,1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747" s="3"/>
      <c r="G747" s="30"/>
    </row>
    <row r="748" spans="1:9" ht="18.600000000000001" thickBot="1" x14ac:dyDescent="0.5">
      <c r="A748" s="86"/>
      <c r="B748" s="8"/>
      <c r="C748" s="127" t="s">
        <v>13</v>
      </c>
      <c r="D748" s="128"/>
      <c r="E748" s="19">
        <f>IF(H746="",H742*0.05,H746)</f>
        <v>125.37</v>
      </c>
      <c r="F748" s="3"/>
      <c r="G748" s="30"/>
    </row>
    <row r="749" spans="1:9" ht="18.600000000000001" thickBot="1" x14ac:dyDescent="0.5">
      <c r="A749" s="86"/>
      <c r="B749" s="132" t="s">
        <v>14</v>
      </c>
      <c r="C749" s="126"/>
      <c r="D749" s="126"/>
      <c r="E749" s="19">
        <f t="shared" ref="E749" si="551">SUM(E747:E748)</f>
        <v>125.37</v>
      </c>
      <c r="F749" s="3"/>
      <c r="G749" s="30"/>
    </row>
    <row r="750" spans="1:9" ht="18.600000000000001" thickBot="1" x14ac:dyDescent="0.5">
      <c r="A750" s="97" t="s">
        <v>15</v>
      </c>
      <c r="B750" s="98"/>
      <c r="C750" s="98"/>
      <c r="D750" s="99"/>
      <c r="E750" s="20">
        <f t="shared" ref="E750" si="552">E741+E746+E749</f>
        <v>5048.2289166666724</v>
      </c>
      <c r="F750" s="3"/>
    </row>
    <row r="751" spans="1:9" ht="18.600000000000001" thickBot="1" x14ac:dyDescent="0.5">
      <c r="A751" s="6"/>
      <c r="B751" s="126" t="s">
        <v>16</v>
      </c>
      <c r="C751" s="126"/>
      <c r="D751" s="126"/>
      <c r="E751" s="19">
        <f t="shared" ref="E751" si="553">H742</f>
        <v>2507.4</v>
      </c>
      <c r="F751" s="3"/>
    </row>
    <row r="752" spans="1:9" ht="18.600000000000001" thickBot="1" x14ac:dyDescent="0.5">
      <c r="A752" s="97" t="s">
        <v>17</v>
      </c>
      <c r="B752" s="98"/>
      <c r="C752" s="98"/>
      <c r="D752" s="99"/>
      <c r="E752" s="20">
        <f t="shared" ref="E752" si="554">E751</f>
        <v>2507.4</v>
      </c>
      <c r="F752" s="3"/>
    </row>
    <row r="753" spans="1:9" ht="18.600000000000001" thickBot="1" x14ac:dyDescent="0.5">
      <c r="A753" s="96" t="s">
        <v>18</v>
      </c>
      <c r="B753" s="96"/>
      <c r="C753" s="96"/>
      <c r="D753" s="96"/>
      <c r="E753" s="14">
        <f t="shared" ref="E753" si="555">12*H737</f>
        <v>432</v>
      </c>
      <c r="F753" s="3"/>
    </row>
    <row r="754" spans="1:9" ht="18.600000000000001" thickBot="1" x14ac:dyDescent="0.5">
      <c r="A754" s="3"/>
      <c r="B754" s="3"/>
      <c r="C754" s="3"/>
      <c r="D754" s="3"/>
      <c r="E754" s="3"/>
      <c r="F754" s="3"/>
    </row>
    <row r="755" spans="1:9" ht="18.600000000000001" thickBot="1" x14ac:dyDescent="0.5">
      <c r="A755" s="12" t="s">
        <v>19</v>
      </c>
      <c r="B755" s="12"/>
      <c r="C755" s="12"/>
      <c r="D755" s="12"/>
      <c r="E755" s="15">
        <f t="shared" ref="E755" si="556">-((E752-E750)/E753)</f>
        <v>5.8815484182098894</v>
      </c>
      <c r="F755" s="3" t="s">
        <v>20</v>
      </c>
    </row>
    <row r="756" spans="1:9" x14ac:dyDescent="0.45">
      <c r="A756" s="3"/>
      <c r="B756" s="3"/>
      <c r="C756" s="3"/>
      <c r="D756" s="3"/>
      <c r="E756" s="3"/>
      <c r="F756" s="3"/>
    </row>
    <row r="757" spans="1:9" ht="18.600000000000001" thickBot="1" x14ac:dyDescent="0.5">
      <c r="A757" s="3"/>
      <c r="B757" s="3"/>
      <c r="D757" s="3"/>
      <c r="E757" s="3"/>
      <c r="F757" s="3"/>
    </row>
    <row r="758" spans="1:9" ht="18.600000000000001" thickBot="1" x14ac:dyDescent="0.5">
      <c r="A758" s="10" t="s">
        <v>4</v>
      </c>
      <c r="B758" s="3"/>
      <c r="C758" s="3"/>
      <c r="D758" s="3"/>
      <c r="E758" s="4" t="s">
        <v>1</v>
      </c>
      <c r="F758" s="4"/>
      <c r="G758" s="38" t="s">
        <v>508</v>
      </c>
      <c r="H758" s="42">
        <f t="shared" ref="H758" si="557">H737+1</f>
        <v>37</v>
      </c>
      <c r="I758" t="s">
        <v>509</v>
      </c>
    </row>
    <row r="759" spans="1:9" ht="18.600000000000001" thickBot="1" x14ac:dyDescent="0.5">
      <c r="A759" s="133" t="s">
        <v>5</v>
      </c>
      <c r="B759" s="133"/>
      <c r="C759" s="133"/>
      <c r="D759" s="133"/>
      <c r="E759" s="11" t="s">
        <v>0</v>
      </c>
      <c r="F759" s="3"/>
      <c r="G759" s="36" t="s">
        <v>464</v>
      </c>
      <c r="H759" s="37">
        <f t="shared" ref="H759:H809" si="558">H738</f>
        <v>3980</v>
      </c>
      <c r="I759" t="s">
        <v>465</v>
      </c>
    </row>
    <row r="760" spans="1:9" ht="18.600000000000001" thickBot="1" x14ac:dyDescent="0.5">
      <c r="A760" s="85"/>
      <c r="B760" s="87"/>
      <c r="C760" s="127" t="s">
        <v>3</v>
      </c>
      <c r="D760" s="128"/>
      <c r="E760" s="29">
        <f t="shared" ref="E760" si="559">IF(H762="",0,H762)</f>
        <v>0</v>
      </c>
      <c r="F760" s="3"/>
      <c r="G760" s="25" t="s">
        <v>466</v>
      </c>
      <c r="H760" s="43">
        <f t="shared" si="558"/>
        <v>0.65</v>
      </c>
      <c r="I760" t="s">
        <v>469</v>
      </c>
    </row>
    <row r="761" spans="1:9" ht="18.600000000000001" thickBot="1" x14ac:dyDescent="0.5">
      <c r="A761" s="86"/>
      <c r="B761" s="88"/>
      <c r="C761" s="127" t="s">
        <v>6</v>
      </c>
      <c r="D761" s="128"/>
      <c r="E761" s="19">
        <f>IF(H765="",$H$7*0.06,H765)</f>
        <v>238.79999999999998</v>
      </c>
      <c r="F761" s="3"/>
      <c r="G761" s="25" t="s">
        <v>467</v>
      </c>
      <c r="H761" s="37">
        <f t="shared" si="558"/>
        <v>35</v>
      </c>
      <c r="I761" t="s">
        <v>468</v>
      </c>
    </row>
    <row r="762" spans="1:9" ht="18.600000000000001" thickBot="1" x14ac:dyDescent="0.5">
      <c r="A762" s="86"/>
      <c r="B762" s="91" t="s">
        <v>7</v>
      </c>
      <c r="C762" s="92"/>
      <c r="D762" s="92"/>
      <c r="E762" s="19">
        <f t="shared" ref="E762" si="560">SUM(E760:E761)</f>
        <v>238.79999999999998</v>
      </c>
      <c r="F762" s="3"/>
      <c r="G762" s="28" t="s">
        <v>3</v>
      </c>
      <c r="H762" s="37">
        <f t="shared" si="558"/>
        <v>0</v>
      </c>
      <c r="I762" t="s">
        <v>465</v>
      </c>
    </row>
    <row r="763" spans="1:9" ht="18.600000000000001" thickBot="1" x14ac:dyDescent="0.5">
      <c r="A763" s="86"/>
      <c r="B763" s="7"/>
      <c r="C763" s="5" t="s">
        <v>8</v>
      </c>
      <c r="D763" s="5"/>
      <c r="E763" s="49">
        <f t="shared" ref="E763" si="561">_xlfn.SWITCH(H758,1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763" s="3"/>
      <c r="G763" s="28" t="s">
        <v>16</v>
      </c>
      <c r="H763" s="37">
        <f>真実の家賃!$I$8*AD39</f>
        <v>2507.4</v>
      </c>
      <c r="I763" t="s">
        <v>465</v>
      </c>
    </row>
    <row r="764" spans="1:9" ht="18.600000000000001" thickBot="1" x14ac:dyDescent="0.5">
      <c r="A764" s="86"/>
      <c r="B764" s="8"/>
      <c r="C764" s="127" t="s">
        <v>2</v>
      </c>
      <c r="D764" s="128"/>
      <c r="E764" s="19">
        <f t="shared" ref="E764" si="562">IF(H766="",H758*15,H766)</f>
        <v>555</v>
      </c>
      <c r="F764" s="3"/>
      <c r="G764" s="56" t="s">
        <v>573</v>
      </c>
      <c r="H764" s="40" t="str">
        <f t="shared" si="558"/>
        <v/>
      </c>
      <c r="I764" t="s">
        <v>465</v>
      </c>
    </row>
    <row r="765" spans="1:9" ht="18.600000000000001" thickBot="1" x14ac:dyDescent="0.5">
      <c r="A765" s="86"/>
      <c r="B765" s="8"/>
      <c r="C765" s="129" t="s">
        <v>9</v>
      </c>
      <c r="D765" s="129"/>
      <c r="E765" s="19">
        <f t="shared" ref="E765" si="563">_xlfn.SWITCH(H758,1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765" s="3"/>
      <c r="G765" s="34" t="s">
        <v>6</v>
      </c>
      <c r="H765" s="40" t="str">
        <f t="shared" si="558"/>
        <v/>
      </c>
      <c r="I765" t="s">
        <v>465</v>
      </c>
    </row>
    <row r="766" spans="1:9" ht="18.600000000000001" thickBot="1" x14ac:dyDescent="0.5">
      <c r="A766" s="86"/>
      <c r="B766" s="8"/>
      <c r="C766" s="130" t="s">
        <v>10</v>
      </c>
      <c r="D766" s="131"/>
      <c r="E766" s="49">
        <f t="shared" ref="E766" si="564">IF(H764="",$Z$3,H758*H764)</f>
        <v>0</v>
      </c>
      <c r="F766" s="3"/>
      <c r="G766" s="28" t="s">
        <v>560</v>
      </c>
      <c r="H766" s="40" t="str">
        <f t="shared" si="558"/>
        <v/>
      </c>
      <c r="I766" t="s">
        <v>465</v>
      </c>
    </row>
    <row r="767" spans="1:9" ht="18.600000000000001" thickBot="1" x14ac:dyDescent="0.5">
      <c r="A767" s="86"/>
      <c r="B767" s="132" t="s">
        <v>11</v>
      </c>
      <c r="C767" s="126"/>
      <c r="D767" s="126"/>
      <c r="E767" s="19">
        <f t="shared" ref="E767" si="565">SUM(E763:E766)</f>
        <v>4699.0589166666723</v>
      </c>
      <c r="F767" s="3"/>
      <c r="G767" s="33" t="s">
        <v>561</v>
      </c>
      <c r="H767" s="41" t="str">
        <f t="shared" si="558"/>
        <v/>
      </c>
      <c r="I767" t="s">
        <v>465</v>
      </c>
    </row>
    <row r="768" spans="1:9" ht="18.600000000000001" thickBot="1" x14ac:dyDescent="0.5">
      <c r="A768" s="86"/>
      <c r="B768" s="7"/>
      <c r="C768" s="127" t="s">
        <v>12</v>
      </c>
      <c r="D768" s="128"/>
      <c r="E768" s="19">
        <f t="shared" ref="E768" si="566">_xlfn.SWITCH(H758,1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768" s="3"/>
      <c r="G768" s="30"/>
    </row>
    <row r="769" spans="1:9" ht="18.600000000000001" thickBot="1" x14ac:dyDescent="0.5">
      <c r="A769" s="86"/>
      <c r="B769" s="8"/>
      <c r="C769" s="127" t="s">
        <v>13</v>
      </c>
      <c r="D769" s="128"/>
      <c r="E769" s="19">
        <f>IF(H767="",H763*0.05,H767)</f>
        <v>125.37</v>
      </c>
      <c r="F769" s="3"/>
      <c r="G769" s="30"/>
    </row>
    <row r="770" spans="1:9" ht="18.600000000000001" thickBot="1" x14ac:dyDescent="0.5">
      <c r="A770" s="86"/>
      <c r="B770" s="132" t="s">
        <v>14</v>
      </c>
      <c r="C770" s="126"/>
      <c r="D770" s="126"/>
      <c r="E770" s="19">
        <f t="shared" ref="E770" si="567">SUM(E768:E769)</f>
        <v>125.37</v>
      </c>
      <c r="F770" s="3"/>
      <c r="G770" s="30"/>
    </row>
    <row r="771" spans="1:9" ht="18.600000000000001" thickBot="1" x14ac:dyDescent="0.5">
      <c r="A771" s="97" t="s">
        <v>15</v>
      </c>
      <c r="B771" s="98"/>
      <c r="C771" s="98"/>
      <c r="D771" s="99"/>
      <c r="E771" s="20">
        <f t="shared" ref="E771" si="568">E762+E767+E770</f>
        <v>5063.2289166666724</v>
      </c>
      <c r="F771" s="3"/>
    </row>
    <row r="772" spans="1:9" ht="18.600000000000001" thickBot="1" x14ac:dyDescent="0.5">
      <c r="A772" s="6"/>
      <c r="B772" s="126" t="s">
        <v>16</v>
      </c>
      <c r="C772" s="126"/>
      <c r="D772" s="126"/>
      <c r="E772" s="19">
        <f t="shared" ref="E772" si="569">H763</f>
        <v>2507.4</v>
      </c>
      <c r="F772" s="3"/>
    </row>
    <row r="773" spans="1:9" ht="18.600000000000001" thickBot="1" x14ac:dyDescent="0.5">
      <c r="A773" s="97" t="s">
        <v>17</v>
      </c>
      <c r="B773" s="98"/>
      <c r="C773" s="98"/>
      <c r="D773" s="99"/>
      <c r="E773" s="20">
        <f t="shared" ref="E773" si="570">E772</f>
        <v>2507.4</v>
      </c>
      <c r="F773" s="3"/>
    </row>
    <row r="774" spans="1:9" ht="18.600000000000001" thickBot="1" x14ac:dyDescent="0.5">
      <c r="A774" s="96" t="s">
        <v>18</v>
      </c>
      <c r="B774" s="96"/>
      <c r="C774" s="96"/>
      <c r="D774" s="96"/>
      <c r="E774" s="14">
        <f t="shared" ref="E774" si="571">12*H758</f>
        <v>444</v>
      </c>
      <c r="F774" s="3"/>
    </row>
    <row r="775" spans="1:9" ht="18.600000000000001" thickBot="1" x14ac:dyDescent="0.5">
      <c r="A775" s="3"/>
      <c r="B775" s="3"/>
      <c r="C775" s="3"/>
      <c r="D775" s="3"/>
      <c r="E775" s="3"/>
      <c r="F775" s="3"/>
    </row>
    <row r="776" spans="1:9" ht="18.600000000000001" thickBot="1" x14ac:dyDescent="0.5">
      <c r="A776" s="12" t="s">
        <v>19</v>
      </c>
      <c r="B776" s="12"/>
      <c r="C776" s="12"/>
      <c r="D776" s="12"/>
      <c r="E776" s="15">
        <f t="shared" ref="E776" si="572">-((E773-E771)/E774)</f>
        <v>5.7563714339339462</v>
      </c>
      <c r="F776" s="3" t="s">
        <v>20</v>
      </c>
    </row>
    <row r="777" spans="1:9" x14ac:dyDescent="0.45">
      <c r="A777" s="3"/>
      <c r="B777" s="3"/>
      <c r="C777" s="3"/>
      <c r="D777" s="3"/>
      <c r="E777" s="3"/>
      <c r="F777" s="3"/>
    </row>
    <row r="778" spans="1:9" ht="18.600000000000001" thickBot="1" x14ac:dyDescent="0.5">
      <c r="A778" s="3"/>
      <c r="B778" s="3"/>
      <c r="D778" s="3"/>
      <c r="E778" s="3"/>
      <c r="F778" s="3"/>
    </row>
    <row r="779" spans="1:9" ht="18.600000000000001" thickBot="1" x14ac:dyDescent="0.5">
      <c r="A779" s="10" t="s">
        <v>4</v>
      </c>
      <c r="B779" s="3"/>
      <c r="C779" s="3"/>
      <c r="D779" s="3"/>
      <c r="E779" s="4" t="s">
        <v>1</v>
      </c>
      <c r="F779" s="4"/>
      <c r="G779" s="38" t="s">
        <v>508</v>
      </c>
      <c r="H779" s="42">
        <f>H758+1</f>
        <v>38</v>
      </c>
      <c r="I779" t="s">
        <v>509</v>
      </c>
    </row>
    <row r="780" spans="1:9" ht="18.600000000000001" thickBot="1" x14ac:dyDescent="0.5">
      <c r="A780" s="133" t="s">
        <v>5</v>
      </c>
      <c r="B780" s="133"/>
      <c r="C780" s="133"/>
      <c r="D780" s="133"/>
      <c r="E780" s="11" t="s">
        <v>0</v>
      </c>
      <c r="F780" s="3"/>
      <c r="G780" s="36" t="s">
        <v>464</v>
      </c>
      <c r="H780" s="37">
        <f t="shared" ref="H780:H785" si="573">H759</f>
        <v>3980</v>
      </c>
      <c r="I780" t="s">
        <v>465</v>
      </c>
    </row>
    <row r="781" spans="1:9" ht="18.600000000000001" thickBot="1" x14ac:dyDescent="0.5">
      <c r="A781" s="85"/>
      <c r="B781" s="87"/>
      <c r="C781" s="127" t="s">
        <v>3</v>
      </c>
      <c r="D781" s="128"/>
      <c r="E781" s="29">
        <f t="shared" ref="E781" si="574">IF(H783="",0,H783)</f>
        <v>0</v>
      </c>
      <c r="F781" s="3"/>
      <c r="G781" s="25" t="s">
        <v>466</v>
      </c>
      <c r="H781" s="43">
        <f t="shared" si="573"/>
        <v>0.65</v>
      </c>
      <c r="I781" t="s">
        <v>469</v>
      </c>
    </row>
    <row r="782" spans="1:9" ht="18.600000000000001" thickBot="1" x14ac:dyDescent="0.5">
      <c r="A782" s="86"/>
      <c r="B782" s="88"/>
      <c r="C782" s="127" t="s">
        <v>6</v>
      </c>
      <c r="D782" s="128"/>
      <c r="E782" s="19">
        <f>IF(H786="",$H$7*0.06,H786)</f>
        <v>238.79999999999998</v>
      </c>
      <c r="F782" s="3"/>
      <c r="G782" s="25" t="s">
        <v>467</v>
      </c>
      <c r="H782" s="37">
        <f t="shared" si="573"/>
        <v>35</v>
      </c>
      <c r="I782" t="s">
        <v>468</v>
      </c>
    </row>
    <row r="783" spans="1:9" ht="18.600000000000001" thickBot="1" x14ac:dyDescent="0.5">
      <c r="A783" s="86"/>
      <c r="B783" s="91" t="s">
        <v>7</v>
      </c>
      <c r="C783" s="92"/>
      <c r="D783" s="92"/>
      <c r="E783" s="19">
        <f t="shared" ref="E783" si="575">SUM(E781:E782)</f>
        <v>238.79999999999998</v>
      </c>
      <c r="F783" s="3"/>
      <c r="G783" s="28" t="s">
        <v>3</v>
      </c>
      <c r="H783" s="37">
        <f t="shared" si="573"/>
        <v>0</v>
      </c>
      <c r="I783" t="s">
        <v>465</v>
      </c>
    </row>
    <row r="784" spans="1:9" ht="18.600000000000001" thickBot="1" x14ac:dyDescent="0.5">
      <c r="A784" s="86"/>
      <c r="B784" s="7"/>
      <c r="C784" s="5" t="s">
        <v>8</v>
      </c>
      <c r="D784" s="5"/>
      <c r="E784" s="49">
        <f t="shared" ref="E784" si="576">_xlfn.SWITCH(H779,1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784" s="3"/>
      <c r="G784" s="28" t="s">
        <v>16</v>
      </c>
      <c r="H784" s="37">
        <f>真実の家賃!$I$8*AD40</f>
        <v>2507.4</v>
      </c>
      <c r="I784" t="s">
        <v>465</v>
      </c>
    </row>
    <row r="785" spans="1:9" ht="18.600000000000001" thickBot="1" x14ac:dyDescent="0.5">
      <c r="A785" s="86"/>
      <c r="B785" s="8"/>
      <c r="C785" s="127" t="s">
        <v>2</v>
      </c>
      <c r="D785" s="128"/>
      <c r="E785" s="19">
        <f t="shared" ref="E785" si="577">IF(H787="",H779*15,H787)</f>
        <v>570</v>
      </c>
      <c r="F785" s="3"/>
      <c r="G785" s="56" t="s">
        <v>573</v>
      </c>
      <c r="H785" s="40" t="str">
        <f t="shared" si="573"/>
        <v/>
      </c>
      <c r="I785" t="s">
        <v>465</v>
      </c>
    </row>
    <row r="786" spans="1:9" ht="18.600000000000001" thickBot="1" x14ac:dyDescent="0.5">
      <c r="A786" s="86"/>
      <c r="B786" s="8"/>
      <c r="C786" s="129" t="s">
        <v>9</v>
      </c>
      <c r="D786" s="129"/>
      <c r="E786" s="19">
        <f t="shared" ref="E786" si="578">_xlfn.SWITCH(H779,1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786" s="3"/>
      <c r="G786" s="34" t="s">
        <v>6</v>
      </c>
      <c r="H786" s="40" t="str">
        <f t="shared" si="542"/>
        <v/>
      </c>
      <c r="I786" t="s">
        <v>465</v>
      </c>
    </row>
    <row r="787" spans="1:9" ht="18.600000000000001" thickBot="1" x14ac:dyDescent="0.5">
      <c r="A787" s="86"/>
      <c r="B787" s="8"/>
      <c r="C787" s="130" t="s">
        <v>10</v>
      </c>
      <c r="D787" s="131"/>
      <c r="E787" s="49">
        <f t="shared" ref="E787" si="579">IF(H785="",$Z$3,H779*H785)</f>
        <v>0</v>
      </c>
      <c r="F787" s="3"/>
      <c r="G787" s="28" t="s">
        <v>560</v>
      </c>
      <c r="H787" s="40" t="str">
        <f t="shared" si="542"/>
        <v/>
      </c>
      <c r="I787" t="s">
        <v>465</v>
      </c>
    </row>
    <row r="788" spans="1:9" ht="18.600000000000001" thickBot="1" x14ac:dyDescent="0.5">
      <c r="A788" s="86"/>
      <c r="B788" s="132" t="s">
        <v>11</v>
      </c>
      <c r="C788" s="126"/>
      <c r="D788" s="126"/>
      <c r="E788" s="19">
        <f t="shared" ref="E788" si="580">SUM(E784:E787)</f>
        <v>4714.0589166666723</v>
      </c>
      <c r="F788" s="3"/>
      <c r="G788" s="33" t="s">
        <v>561</v>
      </c>
      <c r="H788" s="41" t="str">
        <f t="shared" si="542"/>
        <v/>
      </c>
      <c r="I788" t="s">
        <v>465</v>
      </c>
    </row>
    <row r="789" spans="1:9" ht="18.600000000000001" thickBot="1" x14ac:dyDescent="0.5">
      <c r="A789" s="86"/>
      <c r="B789" s="7"/>
      <c r="C789" s="127" t="s">
        <v>12</v>
      </c>
      <c r="D789" s="128"/>
      <c r="E789" s="19">
        <f t="shared" ref="E789" si="581">_xlfn.SWITCH(H779,1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789" s="3"/>
      <c r="G789" s="30"/>
    </row>
    <row r="790" spans="1:9" ht="18.600000000000001" thickBot="1" x14ac:dyDescent="0.5">
      <c r="A790" s="86"/>
      <c r="B790" s="8"/>
      <c r="C790" s="127" t="s">
        <v>13</v>
      </c>
      <c r="D790" s="128"/>
      <c r="E790" s="19">
        <f>IF(H788="",H784*0.05,H788)</f>
        <v>125.37</v>
      </c>
      <c r="F790" s="3"/>
      <c r="G790" s="30"/>
    </row>
    <row r="791" spans="1:9" ht="18.600000000000001" thickBot="1" x14ac:dyDescent="0.5">
      <c r="A791" s="86"/>
      <c r="B791" s="132" t="s">
        <v>14</v>
      </c>
      <c r="C791" s="126"/>
      <c r="D791" s="126"/>
      <c r="E791" s="19">
        <f t="shared" ref="E791" si="582">SUM(E789:E790)</f>
        <v>125.37</v>
      </c>
      <c r="F791" s="3"/>
      <c r="G791" s="30"/>
    </row>
    <row r="792" spans="1:9" ht="18.600000000000001" thickBot="1" x14ac:dyDescent="0.5">
      <c r="A792" s="97" t="s">
        <v>15</v>
      </c>
      <c r="B792" s="98"/>
      <c r="C792" s="98"/>
      <c r="D792" s="99"/>
      <c r="E792" s="20">
        <f t="shared" ref="E792" si="583">E783+E788+E791</f>
        <v>5078.2289166666724</v>
      </c>
      <c r="F792" s="3"/>
    </row>
    <row r="793" spans="1:9" ht="18.600000000000001" thickBot="1" x14ac:dyDescent="0.5">
      <c r="A793" s="6"/>
      <c r="B793" s="126" t="s">
        <v>16</v>
      </c>
      <c r="C793" s="126"/>
      <c r="D793" s="126"/>
      <c r="E793" s="19">
        <f t="shared" ref="E793" si="584">H784</f>
        <v>2507.4</v>
      </c>
      <c r="F793" s="3"/>
    </row>
    <row r="794" spans="1:9" ht="18.600000000000001" thickBot="1" x14ac:dyDescent="0.5">
      <c r="A794" s="97" t="s">
        <v>17</v>
      </c>
      <c r="B794" s="98"/>
      <c r="C794" s="98"/>
      <c r="D794" s="99"/>
      <c r="E794" s="20">
        <f t="shared" ref="E794" si="585">E793</f>
        <v>2507.4</v>
      </c>
      <c r="F794" s="3"/>
    </row>
    <row r="795" spans="1:9" ht="18.600000000000001" thickBot="1" x14ac:dyDescent="0.5">
      <c r="A795" s="96" t="s">
        <v>18</v>
      </c>
      <c r="B795" s="96"/>
      <c r="C795" s="96"/>
      <c r="D795" s="96"/>
      <c r="E795" s="14">
        <f t="shared" ref="E795" si="586">12*H779</f>
        <v>456</v>
      </c>
      <c r="F795" s="3"/>
    </row>
    <row r="796" spans="1:9" ht="18.600000000000001" thickBot="1" x14ac:dyDescent="0.5">
      <c r="A796" s="3"/>
      <c r="B796" s="3"/>
      <c r="C796" s="3"/>
      <c r="D796" s="3"/>
      <c r="E796" s="3"/>
      <c r="F796" s="3"/>
    </row>
    <row r="797" spans="1:9" ht="18.600000000000001" thickBot="1" x14ac:dyDescent="0.5">
      <c r="A797" s="12" t="s">
        <v>19</v>
      </c>
      <c r="B797" s="12"/>
      <c r="C797" s="12"/>
      <c r="D797" s="12"/>
      <c r="E797" s="15">
        <f t="shared" ref="E797" si="587">-((E794-E792)/E795)</f>
        <v>5.6377827119883168</v>
      </c>
      <c r="F797" s="3" t="s">
        <v>20</v>
      </c>
    </row>
    <row r="798" spans="1:9" x14ac:dyDescent="0.45">
      <c r="A798" s="3"/>
      <c r="B798" s="3"/>
      <c r="C798" s="3"/>
      <c r="D798" s="3"/>
      <c r="E798" s="3"/>
      <c r="F798" s="3"/>
    </row>
    <row r="799" spans="1:9" ht="18.600000000000001" thickBot="1" x14ac:dyDescent="0.5">
      <c r="A799" s="3"/>
      <c r="B799" s="3"/>
      <c r="D799" s="3"/>
      <c r="E799" s="3"/>
      <c r="F799" s="3"/>
    </row>
    <row r="800" spans="1:9" ht="18.600000000000001" thickBot="1" x14ac:dyDescent="0.5">
      <c r="A800" s="10" t="s">
        <v>4</v>
      </c>
      <c r="B800" s="3"/>
      <c r="C800" s="3"/>
      <c r="D800" s="3"/>
      <c r="E800" s="4" t="s">
        <v>1</v>
      </c>
      <c r="F800" s="4"/>
      <c r="G800" s="38" t="s">
        <v>508</v>
      </c>
      <c r="H800" s="42">
        <f t="shared" ref="H800" si="588">H779+1</f>
        <v>39</v>
      </c>
      <c r="I800" t="s">
        <v>509</v>
      </c>
    </row>
    <row r="801" spans="1:9" ht="18.600000000000001" thickBot="1" x14ac:dyDescent="0.5">
      <c r="A801" s="133" t="s">
        <v>5</v>
      </c>
      <c r="B801" s="133"/>
      <c r="C801" s="133"/>
      <c r="D801" s="133"/>
      <c r="E801" s="11" t="s">
        <v>0</v>
      </c>
      <c r="F801" s="3"/>
      <c r="G801" s="36" t="s">
        <v>464</v>
      </c>
      <c r="H801" s="37">
        <f t="shared" ref="H801:H806" si="589">H780</f>
        <v>3980</v>
      </c>
      <c r="I801" t="s">
        <v>465</v>
      </c>
    </row>
    <row r="802" spans="1:9" ht="18.600000000000001" thickBot="1" x14ac:dyDescent="0.5">
      <c r="A802" s="85"/>
      <c r="B802" s="87"/>
      <c r="C802" s="127" t="s">
        <v>3</v>
      </c>
      <c r="D802" s="128"/>
      <c r="E802" s="29">
        <f t="shared" ref="E802" si="590">IF(H804="",0,H804)</f>
        <v>0</v>
      </c>
      <c r="F802" s="3"/>
      <c r="G802" s="25" t="s">
        <v>466</v>
      </c>
      <c r="H802" s="43">
        <f t="shared" si="589"/>
        <v>0.65</v>
      </c>
      <c r="I802" t="s">
        <v>469</v>
      </c>
    </row>
    <row r="803" spans="1:9" ht="18.600000000000001" thickBot="1" x14ac:dyDescent="0.5">
      <c r="A803" s="86"/>
      <c r="B803" s="88"/>
      <c r="C803" s="127" t="s">
        <v>6</v>
      </c>
      <c r="D803" s="128"/>
      <c r="E803" s="19">
        <f>IF(H807="",$H$7*0.06,H807)</f>
        <v>238.79999999999998</v>
      </c>
      <c r="F803" s="3"/>
      <c r="G803" s="25" t="s">
        <v>467</v>
      </c>
      <c r="H803" s="37">
        <f t="shared" si="589"/>
        <v>35</v>
      </c>
      <c r="I803" t="s">
        <v>468</v>
      </c>
    </row>
    <row r="804" spans="1:9" ht="18.600000000000001" thickBot="1" x14ac:dyDescent="0.5">
      <c r="A804" s="86"/>
      <c r="B804" s="91" t="s">
        <v>7</v>
      </c>
      <c r="C804" s="92"/>
      <c r="D804" s="92"/>
      <c r="E804" s="19">
        <f t="shared" ref="E804" si="591">SUM(E802:E803)</f>
        <v>238.79999999999998</v>
      </c>
      <c r="F804" s="3"/>
      <c r="G804" s="28" t="s">
        <v>3</v>
      </c>
      <c r="H804" s="37">
        <f t="shared" si="589"/>
        <v>0</v>
      </c>
      <c r="I804" t="s">
        <v>465</v>
      </c>
    </row>
    <row r="805" spans="1:9" ht="18.600000000000001" thickBot="1" x14ac:dyDescent="0.5">
      <c r="A805" s="86"/>
      <c r="B805" s="7"/>
      <c r="C805" s="5" t="s">
        <v>8</v>
      </c>
      <c r="D805" s="5"/>
      <c r="E805" s="49">
        <f t="shared" ref="E805" si="592">_xlfn.SWITCH(H800,1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805" s="3"/>
      <c r="G805" s="28" t="s">
        <v>16</v>
      </c>
      <c r="H805" s="37">
        <f>真実の家賃!$I$8*AD41</f>
        <v>2507.4</v>
      </c>
      <c r="I805" t="s">
        <v>465</v>
      </c>
    </row>
    <row r="806" spans="1:9" ht="18.600000000000001" thickBot="1" x14ac:dyDescent="0.5">
      <c r="A806" s="86"/>
      <c r="B806" s="8"/>
      <c r="C806" s="127" t="s">
        <v>2</v>
      </c>
      <c r="D806" s="128"/>
      <c r="E806" s="19">
        <f t="shared" ref="E806" si="593">IF(H808="",H800*15,H808)</f>
        <v>585</v>
      </c>
      <c r="F806" s="3"/>
      <c r="G806" s="56" t="s">
        <v>573</v>
      </c>
      <c r="H806" s="40" t="str">
        <f t="shared" si="589"/>
        <v/>
      </c>
      <c r="I806" t="s">
        <v>465</v>
      </c>
    </row>
    <row r="807" spans="1:9" ht="18.600000000000001" thickBot="1" x14ac:dyDescent="0.5">
      <c r="A807" s="86"/>
      <c r="B807" s="8"/>
      <c r="C807" s="129" t="s">
        <v>9</v>
      </c>
      <c r="D807" s="129"/>
      <c r="E807" s="19">
        <f t="shared" ref="E807" si="594">_xlfn.SWITCH(H800,1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807" s="3"/>
      <c r="G807" s="34" t="s">
        <v>6</v>
      </c>
      <c r="H807" s="40" t="str">
        <f t="shared" si="558"/>
        <v/>
      </c>
      <c r="I807" t="s">
        <v>465</v>
      </c>
    </row>
    <row r="808" spans="1:9" ht="18.600000000000001" thickBot="1" x14ac:dyDescent="0.5">
      <c r="A808" s="86"/>
      <c r="B808" s="8"/>
      <c r="C808" s="130" t="s">
        <v>10</v>
      </c>
      <c r="D808" s="131"/>
      <c r="E808" s="49">
        <f t="shared" ref="E808" si="595">IF(H806="",$Z$3,H800*H806)</f>
        <v>0</v>
      </c>
      <c r="F808" s="3"/>
      <c r="G808" s="28" t="s">
        <v>560</v>
      </c>
      <c r="H808" s="40" t="str">
        <f t="shared" si="558"/>
        <v/>
      </c>
      <c r="I808" t="s">
        <v>465</v>
      </c>
    </row>
    <row r="809" spans="1:9" ht="18.600000000000001" thickBot="1" x14ac:dyDescent="0.5">
      <c r="A809" s="86"/>
      <c r="B809" s="132" t="s">
        <v>11</v>
      </c>
      <c r="C809" s="126"/>
      <c r="D809" s="126"/>
      <c r="E809" s="19">
        <f t="shared" ref="E809" si="596">SUM(E805:E808)</f>
        <v>4729.0589166666723</v>
      </c>
      <c r="F809" s="3"/>
      <c r="G809" s="33" t="s">
        <v>561</v>
      </c>
      <c r="H809" s="41" t="str">
        <f t="shared" si="558"/>
        <v/>
      </c>
      <c r="I809" t="s">
        <v>465</v>
      </c>
    </row>
    <row r="810" spans="1:9" ht="18.600000000000001" thickBot="1" x14ac:dyDescent="0.5">
      <c r="A810" s="86"/>
      <c r="B810" s="7"/>
      <c r="C810" s="127" t="s">
        <v>12</v>
      </c>
      <c r="D810" s="128"/>
      <c r="E810" s="19">
        <f t="shared" ref="E810" si="597">_xlfn.SWITCH(H800,1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810" s="3"/>
      <c r="G810" s="30"/>
    </row>
    <row r="811" spans="1:9" ht="18.600000000000001" thickBot="1" x14ac:dyDescent="0.5">
      <c r="A811" s="86"/>
      <c r="B811" s="8"/>
      <c r="C811" s="127" t="s">
        <v>13</v>
      </c>
      <c r="D811" s="128"/>
      <c r="E811" s="19">
        <f>IF(H809="",H805*0.05,H809)</f>
        <v>125.37</v>
      </c>
      <c r="F811" s="3"/>
      <c r="G811" s="30"/>
    </row>
    <row r="812" spans="1:9" ht="18.600000000000001" thickBot="1" x14ac:dyDescent="0.5">
      <c r="A812" s="86"/>
      <c r="B812" s="132" t="s">
        <v>14</v>
      </c>
      <c r="C812" s="126"/>
      <c r="D812" s="126"/>
      <c r="E812" s="19">
        <f t="shared" ref="E812" si="598">SUM(E810:E811)</f>
        <v>125.37</v>
      </c>
      <c r="F812" s="3"/>
      <c r="G812" s="30"/>
    </row>
    <row r="813" spans="1:9" ht="18.600000000000001" thickBot="1" x14ac:dyDescent="0.5">
      <c r="A813" s="97" t="s">
        <v>15</v>
      </c>
      <c r="B813" s="98"/>
      <c r="C813" s="98"/>
      <c r="D813" s="99"/>
      <c r="E813" s="20">
        <f t="shared" ref="E813" si="599">E804+E809+E812</f>
        <v>5093.2289166666724</v>
      </c>
      <c r="F813" s="3"/>
    </row>
    <row r="814" spans="1:9" ht="18.600000000000001" thickBot="1" x14ac:dyDescent="0.5">
      <c r="A814" s="6"/>
      <c r="B814" s="126" t="s">
        <v>16</v>
      </c>
      <c r="C814" s="126"/>
      <c r="D814" s="126"/>
      <c r="E814" s="19">
        <f t="shared" ref="E814" si="600">H805</f>
        <v>2507.4</v>
      </c>
      <c r="F814" s="3"/>
    </row>
    <row r="815" spans="1:9" ht="18.600000000000001" thickBot="1" x14ac:dyDescent="0.5">
      <c r="A815" s="97" t="s">
        <v>17</v>
      </c>
      <c r="B815" s="98"/>
      <c r="C815" s="98"/>
      <c r="D815" s="99"/>
      <c r="E815" s="20">
        <f t="shared" ref="E815" si="601">E814</f>
        <v>2507.4</v>
      </c>
      <c r="F815" s="3"/>
    </row>
    <row r="816" spans="1:9" ht="18.600000000000001" thickBot="1" x14ac:dyDescent="0.5">
      <c r="A816" s="96" t="s">
        <v>18</v>
      </c>
      <c r="B816" s="96"/>
      <c r="C816" s="96"/>
      <c r="D816" s="96"/>
      <c r="E816" s="14">
        <f t="shared" ref="E816" si="602">12*H800</f>
        <v>468</v>
      </c>
      <c r="F816" s="3"/>
    </row>
    <row r="817" spans="1:9" ht="18.600000000000001" thickBot="1" x14ac:dyDescent="0.5">
      <c r="A817" s="3"/>
      <c r="B817" s="3"/>
      <c r="C817" s="3"/>
      <c r="D817" s="3"/>
      <c r="E817" s="3"/>
      <c r="F817" s="3"/>
    </row>
    <row r="818" spans="1:9" ht="18.600000000000001" thickBot="1" x14ac:dyDescent="0.5">
      <c r="A818" s="12" t="s">
        <v>19</v>
      </c>
      <c r="B818" s="12"/>
      <c r="C818" s="12"/>
      <c r="D818" s="12"/>
      <c r="E818" s="15">
        <f t="shared" ref="E818" si="603">-((E815-E813)/E816)</f>
        <v>5.5252754629629752</v>
      </c>
      <c r="F818" s="3" t="s">
        <v>20</v>
      </c>
    </row>
    <row r="819" spans="1:9" x14ac:dyDescent="0.45">
      <c r="A819" s="3"/>
      <c r="B819" s="3"/>
      <c r="C819" s="3"/>
      <c r="D819" s="3"/>
      <c r="E819" s="3"/>
      <c r="F819" s="3"/>
    </row>
    <row r="820" spans="1:9" ht="18.600000000000001" thickBot="1" x14ac:dyDescent="0.5">
      <c r="A820" s="3"/>
      <c r="B820" s="3"/>
      <c r="D820" s="3"/>
      <c r="E820" s="3"/>
      <c r="F820" s="3"/>
    </row>
    <row r="821" spans="1:9" ht="18.600000000000001" thickBot="1" x14ac:dyDescent="0.5">
      <c r="A821" s="10" t="s">
        <v>4</v>
      </c>
      <c r="B821" s="3"/>
      <c r="C821" s="3"/>
      <c r="D821" s="3"/>
      <c r="E821" s="4" t="s">
        <v>1</v>
      </c>
      <c r="F821" s="4"/>
      <c r="G821" s="38" t="s">
        <v>508</v>
      </c>
      <c r="H821" s="42">
        <f t="shared" ref="H821" si="604">H800+1</f>
        <v>40</v>
      </c>
      <c r="I821" t="s">
        <v>509</v>
      </c>
    </row>
    <row r="822" spans="1:9" ht="18.600000000000001" thickBot="1" x14ac:dyDescent="0.5">
      <c r="A822" s="133" t="s">
        <v>5</v>
      </c>
      <c r="B822" s="133"/>
      <c r="C822" s="133"/>
      <c r="D822" s="133"/>
      <c r="E822" s="11" t="s">
        <v>0</v>
      </c>
      <c r="F822" s="3"/>
      <c r="G822" s="36" t="s">
        <v>464</v>
      </c>
      <c r="H822" s="37">
        <f t="shared" ref="H822:H872" si="605">H801</f>
        <v>3980</v>
      </c>
      <c r="I822" t="s">
        <v>465</v>
      </c>
    </row>
    <row r="823" spans="1:9" ht="18.600000000000001" thickBot="1" x14ac:dyDescent="0.5">
      <c r="A823" s="85"/>
      <c r="B823" s="87"/>
      <c r="C823" s="127" t="s">
        <v>3</v>
      </c>
      <c r="D823" s="128"/>
      <c r="E823" s="29">
        <f t="shared" ref="E823" si="606">IF(H825="",0,H825)</f>
        <v>0</v>
      </c>
      <c r="F823" s="3"/>
      <c r="G823" s="25" t="s">
        <v>466</v>
      </c>
      <c r="H823" s="43">
        <f t="shared" si="605"/>
        <v>0.65</v>
      </c>
      <c r="I823" t="s">
        <v>469</v>
      </c>
    </row>
    <row r="824" spans="1:9" ht="18.600000000000001" thickBot="1" x14ac:dyDescent="0.5">
      <c r="A824" s="86"/>
      <c r="B824" s="88"/>
      <c r="C824" s="127" t="s">
        <v>6</v>
      </c>
      <c r="D824" s="128"/>
      <c r="E824" s="19">
        <f>IF(H828="",$H$7*0.06,H828)</f>
        <v>238.79999999999998</v>
      </c>
      <c r="F824" s="3"/>
      <c r="G824" s="25" t="s">
        <v>467</v>
      </c>
      <c r="H824" s="37">
        <f t="shared" si="605"/>
        <v>35</v>
      </c>
      <c r="I824" t="s">
        <v>468</v>
      </c>
    </row>
    <row r="825" spans="1:9" ht="18.600000000000001" thickBot="1" x14ac:dyDescent="0.5">
      <c r="A825" s="86"/>
      <c r="B825" s="91" t="s">
        <v>7</v>
      </c>
      <c r="C825" s="92"/>
      <c r="D825" s="92"/>
      <c r="E825" s="19">
        <f t="shared" ref="E825" si="607">SUM(E823:E824)</f>
        <v>238.79999999999998</v>
      </c>
      <c r="F825" s="3"/>
      <c r="G825" s="28" t="s">
        <v>3</v>
      </c>
      <c r="H825" s="37">
        <f t="shared" si="605"/>
        <v>0</v>
      </c>
      <c r="I825" t="s">
        <v>465</v>
      </c>
    </row>
    <row r="826" spans="1:9" ht="18.600000000000001" thickBot="1" x14ac:dyDescent="0.5">
      <c r="A826" s="86"/>
      <c r="B826" s="7"/>
      <c r="C826" s="5" t="s">
        <v>8</v>
      </c>
      <c r="D826" s="5"/>
      <c r="E826" s="49">
        <f t="shared" ref="E826" si="608">_xlfn.SWITCH(H821,1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826" s="3"/>
      <c r="G826" s="28" t="s">
        <v>16</v>
      </c>
      <c r="H826" s="37">
        <f>真実の家賃!$I$8*AD42</f>
        <v>2507.4</v>
      </c>
      <c r="I826" t="s">
        <v>465</v>
      </c>
    </row>
    <row r="827" spans="1:9" ht="18.600000000000001" thickBot="1" x14ac:dyDescent="0.5">
      <c r="A827" s="86"/>
      <c r="B827" s="8"/>
      <c r="C827" s="127" t="s">
        <v>2</v>
      </c>
      <c r="D827" s="128"/>
      <c r="E827" s="19">
        <f t="shared" ref="E827" si="609">IF(H829="",H821*15,H829)</f>
        <v>600</v>
      </c>
      <c r="F827" s="3"/>
      <c r="G827" s="56" t="s">
        <v>573</v>
      </c>
      <c r="H827" s="40" t="str">
        <f t="shared" si="605"/>
        <v/>
      </c>
      <c r="I827" t="s">
        <v>465</v>
      </c>
    </row>
    <row r="828" spans="1:9" ht="18.600000000000001" thickBot="1" x14ac:dyDescent="0.5">
      <c r="A828" s="86"/>
      <c r="B828" s="8"/>
      <c r="C828" s="129" t="s">
        <v>9</v>
      </c>
      <c r="D828" s="129"/>
      <c r="E828" s="19">
        <f t="shared" ref="E828" si="610">_xlfn.SWITCH(H821,1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828" s="3"/>
      <c r="G828" s="34" t="s">
        <v>6</v>
      </c>
      <c r="H828" s="40" t="str">
        <f t="shared" si="605"/>
        <v/>
      </c>
      <c r="I828" t="s">
        <v>465</v>
      </c>
    </row>
    <row r="829" spans="1:9" ht="18.600000000000001" thickBot="1" x14ac:dyDescent="0.5">
      <c r="A829" s="86"/>
      <c r="B829" s="8"/>
      <c r="C829" s="130" t="s">
        <v>10</v>
      </c>
      <c r="D829" s="131"/>
      <c r="E829" s="49">
        <f t="shared" ref="E829" si="611">IF(H827="",$Z$3,H821*H827)</f>
        <v>0</v>
      </c>
      <c r="F829" s="3"/>
      <c r="G829" s="28" t="s">
        <v>560</v>
      </c>
      <c r="H829" s="40" t="str">
        <f t="shared" si="605"/>
        <v/>
      </c>
      <c r="I829" t="s">
        <v>465</v>
      </c>
    </row>
    <row r="830" spans="1:9" ht="18.600000000000001" thickBot="1" x14ac:dyDescent="0.5">
      <c r="A830" s="86"/>
      <c r="B830" s="132" t="s">
        <v>11</v>
      </c>
      <c r="C830" s="126"/>
      <c r="D830" s="126"/>
      <c r="E830" s="19">
        <f t="shared" ref="E830" si="612">SUM(E826:E829)</f>
        <v>4744.0589166666723</v>
      </c>
      <c r="F830" s="3"/>
      <c r="G830" s="33" t="s">
        <v>561</v>
      </c>
      <c r="H830" s="41" t="str">
        <f t="shared" si="605"/>
        <v/>
      </c>
      <c r="I830" t="s">
        <v>465</v>
      </c>
    </row>
    <row r="831" spans="1:9" ht="18.600000000000001" thickBot="1" x14ac:dyDescent="0.5">
      <c r="A831" s="86"/>
      <c r="B831" s="7"/>
      <c r="C831" s="127" t="s">
        <v>12</v>
      </c>
      <c r="D831" s="128"/>
      <c r="E831" s="19">
        <f t="shared" ref="E831" si="613">_xlfn.SWITCH(H821,1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831" s="3"/>
      <c r="G831" s="30"/>
    </row>
    <row r="832" spans="1:9" ht="18.600000000000001" thickBot="1" x14ac:dyDescent="0.5">
      <c r="A832" s="86"/>
      <c r="B832" s="8"/>
      <c r="C832" s="127" t="s">
        <v>13</v>
      </c>
      <c r="D832" s="128"/>
      <c r="E832" s="19">
        <f>IF(H830="",H826*0.05,H830)</f>
        <v>125.37</v>
      </c>
      <c r="F832" s="3"/>
      <c r="G832" s="30"/>
    </row>
    <row r="833" spans="1:9" ht="18.600000000000001" thickBot="1" x14ac:dyDescent="0.5">
      <c r="A833" s="86"/>
      <c r="B833" s="132" t="s">
        <v>14</v>
      </c>
      <c r="C833" s="126"/>
      <c r="D833" s="126"/>
      <c r="E833" s="19">
        <f t="shared" ref="E833" si="614">SUM(E831:E832)</f>
        <v>125.37</v>
      </c>
      <c r="F833" s="3"/>
      <c r="G833" s="30"/>
    </row>
    <row r="834" spans="1:9" ht="18.600000000000001" thickBot="1" x14ac:dyDescent="0.5">
      <c r="A834" s="97" t="s">
        <v>15</v>
      </c>
      <c r="B834" s="98"/>
      <c r="C834" s="98"/>
      <c r="D834" s="99"/>
      <c r="E834" s="20">
        <f t="shared" ref="E834" si="615">E825+E830+E833</f>
        <v>5108.2289166666724</v>
      </c>
      <c r="F834" s="3"/>
    </row>
    <row r="835" spans="1:9" ht="18.600000000000001" thickBot="1" x14ac:dyDescent="0.5">
      <c r="A835" s="6"/>
      <c r="B835" s="126" t="s">
        <v>16</v>
      </c>
      <c r="C835" s="126"/>
      <c r="D835" s="126"/>
      <c r="E835" s="19">
        <f t="shared" ref="E835" si="616">H826</f>
        <v>2507.4</v>
      </c>
      <c r="F835" s="3"/>
    </row>
    <row r="836" spans="1:9" ht="18.600000000000001" thickBot="1" x14ac:dyDescent="0.5">
      <c r="A836" s="97" t="s">
        <v>17</v>
      </c>
      <c r="B836" s="98"/>
      <c r="C836" s="98"/>
      <c r="D836" s="99"/>
      <c r="E836" s="20">
        <f t="shared" ref="E836" si="617">E835</f>
        <v>2507.4</v>
      </c>
      <c r="F836" s="3"/>
    </row>
    <row r="837" spans="1:9" ht="18.600000000000001" thickBot="1" x14ac:dyDescent="0.5">
      <c r="A837" s="96" t="s">
        <v>18</v>
      </c>
      <c r="B837" s="96"/>
      <c r="C837" s="96"/>
      <c r="D837" s="96"/>
      <c r="E837" s="14">
        <f t="shared" ref="E837" si="618">12*H821</f>
        <v>480</v>
      </c>
      <c r="F837" s="3"/>
    </row>
    <row r="838" spans="1:9" ht="18.600000000000001" thickBot="1" x14ac:dyDescent="0.5">
      <c r="A838" s="3"/>
      <c r="B838" s="3"/>
      <c r="C838" s="3"/>
      <c r="D838" s="3"/>
      <c r="E838" s="3"/>
      <c r="F838" s="3"/>
    </row>
    <row r="839" spans="1:9" ht="18.600000000000001" thickBot="1" x14ac:dyDescent="0.5">
      <c r="A839" s="12" t="s">
        <v>19</v>
      </c>
      <c r="B839" s="12"/>
      <c r="C839" s="12"/>
      <c r="D839" s="12"/>
      <c r="E839" s="15">
        <f t="shared" ref="E839" si="619">-((E836-E834)/E837)</f>
        <v>5.4183935763889002</v>
      </c>
      <c r="F839" s="3" t="s">
        <v>20</v>
      </c>
    </row>
    <row r="840" spans="1:9" x14ac:dyDescent="0.45">
      <c r="A840" s="3"/>
      <c r="B840" s="3"/>
      <c r="C840" s="3"/>
      <c r="D840" s="3"/>
      <c r="E840" s="3"/>
      <c r="F840" s="3"/>
    </row>
    <row r="841" spans="1:9" ht="18.600000000000001" thickBot="1" x14ac:dyDescent="0.5">
      <c r="A841" s="3"/>
      <c r="B841" s="3"/>
      <c r="D841" s="3"/>
      <c r="E841" s="3"/>
      <c r="F841" s="3"/>
    </row>
    <row r="842" spans="1:9" ht="18.600000000000001" thickBot="1" x14ac:dyDescent="0.5">
      <c r="A842" s="10" t="s">
        <v>4</v>
      </c>
      <c r="B842" s="3"/>
      <c r="C842" s="3"/>
      <c r="D842" s="3"/>
      <c r="E842" s="4" t="s">
        <v>1</v>
      </c>
      <c r="F842" s="4"/>
      <c r="G842" s="38" t="s">
        <v>508</v>
      </c>
      <c r="H842" s="42">
        <f t="shared" ref="H842" si="620">H821+1</f>
        <v>41</v>
      </c>
      <c r="I842" t="s">
        <v>509</v>
      </c>
    </row>
    <row r="843" spans="1:9" ht="18.600000000000001" thickBot="1" x14ac:dyDescent="0.5">
      <c r="A843" s="133" t="s">
        <v>5</v>
      </c>
      <c r="B843" s="133"/>
      <c r="C843" s="133"/>
      <c r="D843" s="133"/>
      <c r="E843" s="11" t="s">
        <v>0</v>
      </c>
      <c r="F843" s="3"/>
      <c r="G843" s="36" t="s">
        <v>464</v>
      </c>
      <c r="H843" s="37">
        <f t="shared" ref="H843:H893" si="621">H822</f>
        <v>3980</v>
      </c>
      <c r="I843" t="s">
        <v>465</v>
      </c>
    </row>
    <row r="844" spans="1:9" ht="18.600000000000001" thickBot="1" x14ac:dyDescent="0.5">
      <c r="A844" s="85"/>
      <c r="B844" s="87"/>
      <c r="C844" s="127" t="s">
        <v>3</v>
      </c>
      <c r="D844" s="128"/>
      <c r="E844" s="29">
        <f t="shared" ref="E844" si="622">IF(H846="",0,H846)</f>
        <v>0</v>
      </c>
      <c r="F844" s="3"/>
      <c r="G844" s="25" t="s">
        <v>466</v>
      </c>
      <c r="H844" s="43">
        <f t="shared" si="621"/>
        <v>0.65</v>
      </c>
      <c r="I844" t="s">
        <v>469</v>
      </c>
    </row>
    <row r="845" spans="1:9" ht="18.600000000000001" thickBot="1" x14ac:dyDescent="0.5">
      <c r="A845" s="86"/>
      <c r="B845" s="88"/>
      <c r="C845" s="127" t="s">
        <v>6</v>
      </c>
      <c r="D845" s="128"/>
      <c r="E845" s="19">
        <f>IF(H849="",$H$7*0.06,H849)</f>
        <v>238.79999999999998</v>
      </c>
      <c r="F845" s="3"/>
      <c r="G845" s="25" t="s">
        <v>467</v>
      </c>
      <c r="H845" s="37">
        <f t="shared" si="621"/>
        <v>35</v>
      </c>
      <c r="I845" t="s">
        <v>468</v>
      </c>
    </row>
    <row r="846" spans="1:9" ht="18.600000000000001" thickBot="1" x14ac:dyDescent="0.5">
      <c r="A846" s="86"/>
      <c r="B846" s="91" t="s">
        <v>7</v>
      </c>
      <c r="C846" s="92"/>
      <c r="D846" s="92"/>
      <c r="E846" s="19">
        <f t="shared" ref="E846" si="623">SUM(E844:E845)</f>
        <v>238.79999999999998</v>
      </c>
      <c r="F846" s="3"/>
      <c r="G846" s="28" t="s">
        <v>3</v>
      </c>
      <c r="H846" s="37">
        <f t="shared" si="621"/>
        <v>0</v>
      </c>
      <c r="I846" t="s">
        <v>465</v>
      </c>
    </row>
    <row r="847" spans="1:9" ht="18.600000000000001" thickBot="1" x14ac:dyDescent="0.5">
      <c r="A847" s="86"/>
      <c r="B847" s="7"/>
      <c r="C847" s="5" t="s">
        <v>8</v>
      </c>
      <c r="D847" s="5"/>
      <c r="E847" s="49">
        <f t="shared" ref="E847" si="624">_xlfn.SWITCH(H842,1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847" s="3"/>
      <c r="G847" s="28" t="s">
        <v>16</v>
      </c>
      <c r="H847" s="37">
        <f>真実の家賃!$I$8*AD43</f>
        <v>2507.4</v>
      </c>
      <c r="I847" t="s">
        <v>465</v>
      </c>
    </row>
    <row r="848" spans="1:9" ht="18.600000000000001" thickBot="1" x14ac:dyDescent="0.5">
      <c r="A848" s="86"/>
      <c r="B848" s="8"/>
      <c r="C848" s="127" t="s">
        <v>2</v>
      </c>
      <c r="D848" s="128"/>
      <c r="E848" s="19">
        <f t="shared" ref="E848" si="625">IF(H850="",H842*15,H850)</f>
        <v>615</v>
      </c>
      <c r="F848" s="3"/>
      <c r="G848" s="56" t="s">
        <v>573</v>
      </c>
      <c r="H848" s="40" t="str">
        <f t="shared" si="621"/>
        <v/>
      </c>
      <c r="I848" t="s">
        <v>465</v>
      </c>
    </row>
    <row r="849" spans="1:9" ht="18.600000000000001" thickBot="1" x14ac:dyDescent="0.5">
      <c r="A849" s="86"/>
      <c r="B849" s="8"/>
      <c r="C849" s="129" t="s">
        <v>9</v>
      </c>
      <c r="D849" s="129"/>
      <c r="E849" s="19">
        <f t="shared" ref="E849" si="626">_xlfn.SWITCH(H842,1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849" s="3"/>
      <c r="G849" s="34" t="s">
        <v>6</v>
      </c>
      <c r="H849" s="40" t="str">
        <f t="shared" si="621"/>
        <v/>
      </c>
      <c r="I849" t="s">
        <v>465</v>
      </c>
    </row>
    <row r="850" spans="1:9" ht="18.600000000000001" thickBot="1" x14ac:dyDescent="0.5">
      <c r="A850" s="86"/>
      <c r="B850" s="8"/>
      <c r="C850" s="130" t="s">
        <v>10</v>
      </c>
      <c r="D850" s="131"/>
      <c r="E850" s="49">
        <f t="shared" ref="E850" si="627">IF(H848="",$Z$3,H842*H848)</f>
        <v>0</v>
      </c>
      <c r="F850" s="3"/>
      <c r="G850" s="28" t="s">
        <v>560</v>
      </c>
      <c r="H850" s="40" t="str">
        <f t="shared" si="621"/>
        <v/>
      </c>
      <c r="I850" t="s">
        <v>465</v>
      </c>
    </row>
    <row r="851" spans="1:9" ht="18.600000000000001" thickBot="1" x14ac:dyDescent="0.5">
      <c r="A851" s="86"/>
      <c r="B851" s="132" t="s">
        <v>11</v>
      </c>
      <c r="C851" s="126"/>
      <c r="D851" s="126"/>
      <c r="E851" s="19">
        <f t="shared" ref="E851" si="628">SUM(E847:E850)</f>
        <v>4759.0589166666723</v>
      </c>
      <c r="F851" s="3"/>
      <c r="G851" s="33" t="s">
        <v>561</v>
      </c>
      <c r="H851" s="41" t="str">
        <f t="shared" si="621"/>
        <v/>
      </c>
      <c r="I851" t="s">
        <v>465</v>
      </c>
    </row>
    <row r="852" spans="1:9" ht="18.600000000000001" thickBot="1" x14ac:dyDescent="0.5">
      <c r="A852" s="86"/>
      <c r="B852" s="7"/>
      <c r="C852" s="127" t="s">
        <v>12</v>
      </c>
      <c r="D852" s="128"/>
      <c r="E852" s="19">
        <f t="shared" ref="E852" si="629">_xlfn.SWITCH(H842,1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852" s="3"/>
      <c r="G852" s="30"/>
    </row>
    <row r="853" spans="1:9" ht="18.600000000000001" thickBot="1" x14ac:dyDescent="0.5">
      <c r="A853" s="86"/>
      <c r="B853" s="8"/>
      <c r="C853" s="127" t="s">
        <v>13</v>
      </c>
      <c r="D853" s="128"/>
      <c r="E853" s="19">
        <f>IF(H851="",H847*0.05,H851)</f>
        <v>125.37</v>
      </c>
      <c r="F853" s="3"/>
      <c r="G853" s="30"/>
    </row>
    <row r="854" spans="1:9" ht="18.600000000000001" thickBot="1" x14ac:dyDescent="0.5">
      <c r="A854" s="86"/>
      <c r="B854" s="132" t="s">
        <v>14</v>
      </c>
      <c r="C854" s="126"/>
      <c r="D854" s="126"/>
      <c r="E854" s="19">
        <f t="shared" ref="E854" si="630">SUM(E852:E853)</f>
        <v>125.37</v>
      </c>
      <c r="F854" s="3"/>
      <c r="G854" s="30"/>
    </row>
    <row r="855" spans="1:9" ht="18.600000000000001" thickBot="1" x14ac:dyDescent="0.5">
      <c r="A855" s="97" t="s">
        <v>15</v>
      </c>
      <c r="B855" s="98"/>
      <c r="C855" s="98"/>
      <c r="D855" s="99"/>
      <c r="E855" s="20">
        <f t="shared" ref="E855" si="631">E846+E851+E854</f>
        <v>5123.2289166666724</v>
      </c>
      <c r="F855" s="3"/>
    </row>
    <row r="856" spans="1:9" ht="18.600000000000001" thickBot="1" x14ac:dyDescent="0.5">
      <c r="A856" s="6"/>
      <c r="B856" s="126" t="s">
        <v>16</v>
      </c>
      <c r="C856" s="126"/>
      <c r="D856" s="126"/>
      <c r="E856" s="19">
        <f t="shared" ref="E856" si="632">H847</f>
        <v>2507.4</v>
      </c>
      <c r="F856" s="3"/>
    </row>
    <row r="857" spans="1:9" ht="18.600000000000001" thickBot="1" x14ac:dyDescent="0.5">
      <c r="A857" s="97" t="s">
        <v>17</v>
      </c>
      <c r="B857" s="98"/>
      <c r="C857" s="98"/>
      <c r="D857" s="99"/>
      <c r="E857" s="20">
        <f t="shared" ref="E857" si="633">E856</f>
        <v>2507.4</v>
      </c>
      <c r="F857" s="3"/>
    </row>
    <row r="858" spans="1:9" ht="18.600000000000001" thickBot="1" x14ac:dyDescent="0.5">
      <c r="A858" s="96" t="s">
        <v>18</v>
      </c>
      <c r="B858" s="96"/>
      <c r="C858" s="96"/>
      <c r="D858" s="96"/>
      <c r="E858" s="14">
        <f t="shared" ref="E858" si="634">12*H842</f>
        <v>492</v>
      </c>
      <c r="F858" s="3"/>
    </row>
    <row r="859" spans="1:9" ht="18.600000000000001" thickBot="1" x14ac:dyDescent="0.5">
      <c r="A859" s="3"/>
      <c r="B859" s="3"/>
      <c r="C859" s="3"/>
      <c r="D859" s="3"/>
      <c r="E859" s="3"/>
      <c r="F859" s="3"/>
    </row>
    <row r="860" spans="1:9" ht="18.600000000000001" thickBot="1" x14ac:dyDescent="0.5">
      <c r="A860" s="12" t="s">
        <v>19</v>
      </c>
      <c r="B860" s="12"/>
      <c r="C860" s="12"/>
      <c r="D860" s="12"/>
      <c r="E860" s="15">
        <f t="shared" ref="E860" si="635">-((E857-E855)/E858)</f>
        <v>5.3167254403794155</v>
      </c>
      <c r="F860" s="3" t="s">
        <v>20</v>
      </c>
    </row>
    <row r="861" spans="1:9" x14ac:dyDescent="0.45">
      <c r="A861" s="3"/>
      <c r="B861" s="3"/>
      <c r="C861" s="3"/>
      <c r="D861" s="3"/>
      <c r="E861" s="3"/>
      <c r="F861" s="3"/>
    </row>
    <row r="862" spans="1:9" ht="18.600000000000001" thickBot="1" x14ac:dyDescent="0.5">
      <c r="A862" s="3"/>
      <c r="B862" s="3"/>
      <c r="D862" s="3"/>
      <c r="E862" s="3"/>
      <c r="F862" s="3"/>
    </row>
    <row r="863" spans="1:9" ht="18.600000000000001" thickBot="1" x14ac:dyDescent="0.5">
      <c r="A863" s="10" t="s">
        <v>4</v>
      </c>
      <c r="B863" s="3"/>
      <c r="C863" s="3"/>
      <c r="D863" s="3"/>
      <c r="E863" s="4" t="s">
        <v>1</v>
      </c>
      <c r="F863" s="4"/>
      <c r="G863" s="38" t="s">
        <v>508</v>
      </c>
      <c r="H863" s="42">
        <f t="shared" ref="H863" si="636">H842+1</f>
        <v>42</v>
      </c>
      <c r="I863" t="s">
        <v>509</v>
      </c>
    </row>
    <row r="864" spans="1:9" ht="18.600000000000001" thickBot="1" x14ac:dyDescent="0.5">
      <c r="A864" s="133" t="s">
        <v>5</v>
      </c>
      <c r="B864" s="133"/>
      <c r="C864" s="133"/>
      <c r="D864" s="133"/>
      <c r="E864" s="11" t="s">
        <v>0</v>
      </c>
      <c r="F864" s="3"/>
      <c r="G864" s="36" t="s">
        <v>464</v>
      </c>
      <c r="H864" s="37">
        <f t="shared" ref="H864:H869" si="637">H843</f>
        <v>3980</v>
      </c>
      <c r="I864" t="s">
        <v>465</v>
      </c>
    </row>
    <row r="865" spans="1:9" ht="18.600000000000001" thickBot="1" x14ac:dyDescent="0.5">
      <c r="A865" s="85"/>
      <c r="B865" s="87"/>
      <c r="C865" s="127" t="s">
        <v>3</v>
      </c>
      <c r="D865" s="128"/>
      <c r="E865" s="29">
        <f t="shared" ref="E865" si="638">IF(H867="",0,H867)</f>
        <v>0</v>
      </c>
      <c r="F865" s="3"/>
      <c r="G865" s="25" t="s">
        <v>466</v>
      </c>
      <c r="H865" s="43">
        <f t="shared" si="637"/>
        <v>0.65</v>
      </c>
      <c r="I865" t="s">
        <v>469</v>
      </c>
    </row>
    <row r="866" spans="1:9" ht="18.600000000000001" thickBot="1" x14ac:dyDescent="0.5">
      <c r="A866" s="86"/>
      <c r="B866" s="88"/>
      <c r="C866" s="127" t="s">
        <v>6</v>
      </c>
      <c r="D866" s="128"/>
      <c r="E866" s="19">
        <f>IF(H870="",$H$7*0.06,H870)</f>
        <v>238.79999999999998</v>
      </c>
      <c r="F866" s="3"/>
      <c r="G866" s="25" t="s">
        <v>467</v>
      </c>
      <c r="H866" s="37">
        <f t="shared" si="637"/>
        <v>35</v>
      </c>
      <c r="I866" t="s">
        <v>468</v>
      </c>
    </row>
    <row r="867" spans="1:9" ht="18.600000000000001" thickBot="1" x14ac:dyDescent="0.5">
      <c r="A867" s="86"/>
      <c r="B867" s="91" t="s">
        <v>7</v>
      </c>
      <c r="C867" s="92"/>
      <c r="D867" s="92"/>
      <c r="E867" s="19">
        <f t="shared" ref="E867" si="639">SUM(E865:E866)</f>
        <v>238.79999999999998</v>
      </c>
      <c r="F867" s="3"/>
      <c r="G867" s="28" t="s">
        <v>3</v>
      </c>
      <c r="H867" s="37">
        <f t="shared" si="637"/>
        <v>0</v>
      </c>
      <c r="I867" t="s">
        <v>465</v>
      </c>
    </row>
    <row r="868" spans="1:9" ht="18.600000000000001" thickBot="1" x14ac:dyDescent="0.5">
      <c r="A868" s="86"/>
      <c r="B868" s="7"/>
      <c r="C868" s="5" t="s">
        <v>8</v>
      </c>
      <c r="D868" s="5"/>
      <c r="E868" s="49">
        <f t="shared" ref="E868" si="640">_xlfn.SWITCH(H863,1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868" s="3"/>
      <c r="G868" s="28" t="s">
        <v>16</v>
      </c>
      <c r="H868" s="37">
        <f>真実の家賃!$I$8*AD44</f>
        <v>2507.4</v>
      </c>
      <c r="I868" t="s">
        <v>465</v>
      </c>
    </row>
    <row r="869" spans="1:9" ht="18.600000000000001" thickBot="1" x14ac:dyDescent="0.5">
      <c r="A869" s="86"/>
      <c r="B869" s="8"/>
      <c r="C869" s="127" t="s">
        <v>2</v>
      </c>
      <c r="D869" s="128"/>
      <c r="E869" s="19">
        <f t="shared" ref="E869" si="641">IF(H871="",H863*15,H871)</f>
        <v>630</v>
      </c>
      <c r="F869" s="3"/>
      <c r="G869" s="56" t="s">
        <v>573</v>
      </c>
      <c r="H869" s="40" t="str">
        <f t="shared" si="637"/>
        <v/>
      </c>
      <c r="I869" t="s">
        <v>465</v>
      </c>
    </row>
    <row r="870" spans="1:9" ht="18.600000000000001" thickBot="1" x14ac:dyDescent="0.5">
      <c r="A870" s="86"/>
      <c r="B870" s="8"/>
      <c r="C870" s="129" t="s">
        <v>9</v>
      </c>
      <c r="D870" s="129"/>
      <c r="E870" s="19">
        <f t="shared" ref="E870" si="642">_xlfn.SWITCH(H863,1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870" s="3"/>
      <c r="G870" s="34" t="s">
        <v>6</v>
      </c>
      <c r="H870" s="40" t="str">
        <f t="shared" si="605"/>
        <v/>
      </c>
      <c r="I870" t="s">
        <v>465</v>
      </c>
    </row>
    <row r="871" spans="1:9" ht="18.600000000000001" thickBot="1" x14ac:dyDescent="0.5">
      <c r="A871" s="86"/>
      <c r="B871" s="8"/>
      <c r="C871" s="130" t="s">
        <v>10</v>
      </c>
      <c r="D871" s="131"/>
      <c r="E871" s="49">
        <f t="shared" ref="E871" si="643">IF(H869="",$Z$3,H863*H869)</f>
        <v>0</v>
      </c>
      <c r="F871" s="3"/>
      <c r="G871" s="28" t="s">
        <v>560</v>
      </c>
      <c r="H871" s="40" t="str">
        <f t="shared" si="605"/>
        <v/>
      </c>
      <c r="I871" t="s">
        <v>465</v>
      </c>
    </row>
    <row r="872" spans="1:9" ht="18.600000000000001" thickBot="1" x14ac:dyDescent="0.5">
      <c r="A872" s="86"/>
      <c r="B872" s="132" t="s">
        <v>11</v>
      </c>
      <c r="C872" s="126"/>
      <c r="D872" s="126"/>
      <c r="E872" s="19">
        <f t="shared" ref="E872" si="644">SUM(E868:E871)</f>
        <v>4774.0589166666723</v>
      </c>
      <c r="F872" s="3"/>
      <c r="G872" s="33" t="s">
        <v>561</v>
      </c>
      <c r="H872" s="41" t="str">
        <f t="shared" si="605"/>
        <v/>
      </c>
      <c r="I872" t="s">
        <v>465</v>
      </c>
    </row>
    <row r="873" spans="1:9" ht="18.600000000000001" thickBot="1" x14ac:dyDescent="0.5">
      <c r="A873" s="86"/>
      <c r="B873" s="7"/>
      <c r="C873" s="127" t="s">
        <v>12</v>
      </c>
      <c r="D873" s="128"/>
      <c r="E873" s="19">
        <f t="shared" ref="E873" si="645">_xlfn.SWITCH(H863,1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873" s="3"/>
      <c r="G873" s="30"/>
    </row>
    <row r="874" spans="1:9" ht="18.600000000000001" thickBot="1" x14ac:dyDescent="0.5">
      <c r="A874" s="86"/>
      <c r="B874" s="8"/>
      <c r="C874" s="127" t="s">
        <v>13</v>
      </c>
      <c r="D874" s="128"/>
      <c r="E874" s="19">
        <f>IF(H872="",H868*0.05,H872)</f>
        <v>125.37</v>
      </c>
      <c r="F874" s="3"/>
      <c r="G874" s="30"/>
    </row>
    <row r="875" spans="1:9" ht="18.600000000000001" thickBot="1" x14ac:dyDescent="0.5">
      <c r="A875" s="86"/>
      <c r="B875" s="132" t="s">
        <v>14</v>
      </c>
      <c r="C875" s="126"/>
      <c r="D875" s="126"/>
      <c r="E875" s="19">
        <f t="shared" ref="E875" si="646">SUM(E873:E874)</f>
        <v>125.37</v>
      </c>
      <c r="F875" s="3"/>
      <c r="G875" s="30"/>
    </row>
    <row r="876" spans="1:9" ht="18.600000000000001" thickBot="1" x14ac:dyDescent="0.5">
      <c r="A876" s="97" t="s">
        <v>15</v>
      </c>
      <c r="B876" s="98"/>
      <c r="C876" s="98"/>
      <c r="D876" s="99"/>
      <c r="E876" s="20">
        <f t="shared" ref="E876" si="647">E867+E872+E875</f>
        <v>5138.2289166666724</v>
      </c>
      <c r="F876" s="3"/>
    </row>
    <row r="877" spans="1:9" ht="18.600000000000001" thickBot="1" x14ac:dyDescent="0.5">
      <c r="A877" s="6"/>
      <c r="B877" s="126" t="s">
        <v>16</v>
      </c>
      <c r="C877" s="126"/>
      <c r="D877" s="126"/>
      <c r="E877" s="19">
        <f t="shared" ref="E877" si="648">H868</f>
        <v>2507.4</v>
      </c>
      <c r="F877" s="3"/>
    </row>
    <row r="878" spans="1:9" ht="18.600000000000001" thickBot="1" x14ac:dyDescent="0.5">
      <c r="A878" s="97" t="s">
        <v>17</v>
      </c>
      <c r="B878" s="98"/>
      <c r="C878" s="98"/>
      <c r="D878" s="99"/>
      <c r="E878" s="20">
        <f t="shared" ref="E878" si="649">E877</f>
        <v>2507.4</v>
      </c>
      <c r="F878" s="3"/>
    </row>
    <row r="879" spans="1:9" ht="18.600000000000001" thickBot="1" x14ac:dyDescent="0.5">
      <c r="A879" s="96" t="s">
        <v>18</v>
      </c>
      <c r="B879" s="96"/>
      <c r="C879" s="96"/>
      <c r="D879" s="96"/>
      <c r="E879" s="14">
        <f t="shared" ref="E879" si="650">12*H863</f>
        <v>504</v>
      </c>
      <c r="F879" s="3"/>
    </row>
    <row r="880" spans="1:9" ht="18.600000000000001" thickBot="1" x14ac:dyDescent="0.5">
      <c r="A880" s="3"/>
      <c r="B880" s="3"/>
      <c r="C880" s="3"/>
      <c r="D880" s="3"/>
      <c r="E880" s="3"/>
      <c r="F880" s="3"/>
    </row>
    <row r="881" spans="1:9" ht="18.600000000000001" thickBot="1" x14ac:dyDescent="0.5">
      <c r="A881" s="12" t="s">
        <v>19</v>
      </c>
      <c r="B881" s="12"/>
      <c r="C881" s="12"/>
      <c r="D881" s="12"/>
      <c r="E881" s="15">
        <f t="shared" ref="E881" si="651">-((E878-E876)/E879)</f>
        <v>5.2198986441799056</v>
      </c>
      <c r="F881" s="3" t="s">
        <v>20</v>
      </c>
    </row>
    <row r="882" spans="1:9" x14ac:dyDescent="0.45">
      <c r="A882" s="3"/>
      <c r="B882" s="3"/>
      <c r="C882" s="3"/>
      <c r="D882" s="3"/>
      <c r="E882" s="3"/>
      <c r="F882" s="3"/>
    </row>
    <row r="883" spans="1:9" ht="18.600000000000001" thickBot="1" x14ac:dyDescent="0.5">
      <c r="A883" s="3"/>
      <c r="B883" s="3"/>
      <c r="D883" s="3"/>
      <c r="E883" s="3"/>
      <c r="F883" s="3"/>
    </row>
    <row r="884" spans="1:9" ht="18.600000000000001" thickBot="1" x14ac:dyDescent="0.5">
      <c r="A884" s="10" t="s">
        <v>4</v>
      </c>
      <c r="B884" s="3"/>
      <c r="C884" s="3"/>
      <c r="D884" s="3"/>
      <c r="E884" s="4" t="s">
        <v>1</v>
      </c>
      <c r="F884" s="4"/>
      <c r="G884" s="38" t="s">
        <v>508</v>
      </c>
      <c r="H884" s="42">
        <f t="shared" ref="H884" si="652">H863+1</f>
        <v>43</v>
      </c>
      <c r="I884" t="s">
        <v>509</v>
      </c>
    </row>
    <row r="885" spans="1:9" ht="18.600000000000001" thickBot="1" x14ac:dyDescent="0.5">
      <c r="A885" s="133" t="s">
        <v>5</v>
      </c>
      <c r="B885" s="133"/>
      <c r="C885" s="133"/>
      <c r="D885" s="133"/>
      <c r="E885" s="11" t="s">
        <v>0</v>
      </c>
      <c r="F885" s="3"/>
      <c r="G885" s="36" t="s">
        <v>464</v>
      </c>
      <c r="H885" s="37">
        <f t="shared" ref="H885:H890" si="653">H864</f>
        <v>3980</v>
      </c>
      <c r="I885" t="s">
        <v>465</v>
      </c>
    </row>
    <row r="886" spans="1:9" ht="18.600000000000001" thickBot="1" x14ac:dyDescent="0.5">
      <c r="A886" s="85"/>
      <c r="B886" s="87"/>
      <c r="C886" s="127" t="s">
        <v>3</v>
      </c>
      <c r="D886" s="128"/>
      <c r="E886" s="29">
        <f t="shared" ref="E886" si="654">IF(H888="",0,H888)</f>
        <v>0</v>
      </c>
      <c r="F886" s="3"/>
      <c r="G886" s="25" t="s">
        <v>466</v>
      </c>
      <c r="H886" s="43">
        <f t="shared" si="653"/>
        <v>0.65</v>
      </c>
      <c r="I886" t="s">
        <v>469</v>
      </c>
    </row>
    <row r="887" spans="1:9" ht="18.600000000000001" thickBot="1" x14ac:dyDescent="0.5">
      <c r="A887" s="86"/>
      <c r="B887" s="88"/>
      <c r="C887" s="127" t="s">
        <v>6</v>
      </c>
      <c r="D887" s="128"/>
      <c r="E887" s="19">
        <f>IF(H891="",$H$7*0.06,H891)</f>
        <v>238.79999999999998</v>
      </c>
      <c r="F887" s="3"/>
      <c r="G887" s="25" t="s">
        <v>467</v>
      </c>
      <c r="H887" s="37">
        <f t="shared" si="653"/>
        <v>35</v>
      </c>
      <c r="I887" t="s">
        <v>468</v>
      </c>
    </row>
    <row r="888" spans="1:9" ht="18.600000000000001" thickBot="1" x14ac:dyDescent="0.5">
      <c r="A888" s="86"/>
      <c r="B888" s="91" t="s">
        <v>7</v>
      </c>
      <c r="C888" s="92"/>
      <c r="D888" s="92"/>
      <c r="E888" s="19">
        <f t="shared" ref="E888" si="655">SUM(E886:E887)</f>
        <v>238.79999999999998</v>
      </c>
      <c r="F888" s="3"/>
      <c r="G888" s="28" t="s">
        <v>3</v>
      </c>
      <c r="H888" s="37">
        <f t="shared" si="653"/>
        <v>0</v>
      </c>
      <c r="I888" t="s">
        <v>465</v>
      </c>
    </row>
    <row r="889" spans="1:9" ht="18.600000000000001" thickBot="1" x14ac:dyDescent="0.5">
      <c r="A889" s="86"/>
      <c r="B889" s="7"/>
      <c r="C889" s="5" t="s">
        <v>8</v>
      </c>
      <c r="D889" s="5"/>
      <c r="E889" s="49">
        <f t="shared" ref="E889" si="656">_xlfn.SWITCH(H884,1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889" s="3"/>
      <c r="G889" s="28" t="s">
        <v>16</v>
      </c>
      <c r="H889" s="37">
        <f>真実の家賃!$I$8*AD45</f>
        <v>2507.4</v>
      </c>
      <c r="I889" t="s">
        <v>465</v>
      </c>
    </row>
    <row r="890" spans="1:9" ht="18.600000000000001" thickBot="1" x14ac:dyDescent="0.5">
      <c r="A890" s="86"/>
      <c r="B890" s="8"/>
      <c r="C890" s="127" t="s">
        <v>2</v>
      </c>
      <c r="D890" s="128"/>
      <c r="E890" s="19">
        <f t="shared" ref="E890" si="657">IF(H892="",H884*15,H892)</f>
        <v>645</v>
      </c>
      <c r="F890" s="3"/>
      <c r="G890" s="56" t="s">
        <v>573</v>
      </c>
      <c r="H890" s="40" t="str">
        <f t="shared" si="653"/>
        <v/>
      </c>
      <c r="I890" t="s">
        <v>465</v>
      </c>
    </row>
    <row r="891" spans="1:9" ht="18.600000000000001" thickBot="1" x14ac:dyDescent="0.5">
      <c r="A891" s="86"/>
      <c r="B891" s="8"/>
      <c r="C891" s="129" t="s">
        <v>9</v>
      </c>
      <c r="D891" s="129"/>
      <c r="E891" s="19">
        <f t="shared" ref="E891" si="658">_xlfn.SWITCH(H884,1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891" s="3"/>
      <c r="G891" s="34" t="s">
        <v>6</v>
      </c>
      <c r="H891" s="40" t="str">
        <f t="shared" si="621"/>
        <v/>
      </c>
      <c r="I891" t="s">
        <v>465</v>
      </c>
    </row>
    <row r="892" spans="1:9" ht="18.600000000000001" thickBot="1" x14ac:dyDescent="0.5">
      <c r="A892" s="86"/>
      <c r="B892" s="8"/>
      <c r="C892" s="130" t="s">
        <v>10</v>
      </c>
      <c r="D892" s="131"/>
      <c r="E892" s="49">
        <f t="shared" ref="E892" si="659">IF(H890="",$Z$3,H884*H890)</f>
        <v>0</v>
      </c>
      <c r="F892" s="3"/>
      <c r="G892" s="28" t="s">
        <v>560</v>
      </c>
      <c r="H892" s="40" t="str">
        <f t="shared" si="621"/>
        <v/>
      </c>
      <c r="I892" t="s">
        <v>465</v>
      </c>
    </row>
    <row r="893" spans="1:9" ht="18.600000000000001" thickBot="1" x14ac:dyDescent="0.5">
      <c r="A893" s="86"/>
      <c r="B893" s="132" t="s">
        <v>11</v>
      </c>
      <c r="C893" s="126"/>
      <c r="D893" s="126"/>
      <c r="E893" s="19">
        <f t="shared" ref="E893" si="660">SUM(E889:E892)</f>
        <v>4789.0589166666723</v>
      </c>
      <c r="F893" s="3"/>
      <c r="G893" s="33" t="s">
        <v>561</v>
      </c>
      <c r="H893" s="41" t="str">
        <f t="shared" si="621"/>
        <v/>
      </c>
      <c r="I893" t="s">
        <v>465</v>
      </c>
    </row>
    <row r="894" spans="1:9" ht="18.600000000000001" thickBot="1" x14ac:dyDescent="0.5">
      <c r="A894" s="86"/>
      <c r="B894" s="7"/>
      <c r="C894" s="127" t="s">
        <v>12</v>
      </c>
      <c r="D894" s="128"/>
      <c r="E894" s="19">
        <f t="shared" ref="E894" si="661">_xlfn.SWITCH(H884,1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894" s="3"/>
      <c r="G894" s="30"/>
    </row>
    <row r="895" spans="1:9" ht="18.600000000000001" thickBot="1" x14ac:dyDescent="0.5">
      <c r="A895" s="86"/>
      <c r="B895" s="8"/>
      <c r="C895" s="127" t="s">
        <v>13</v>
      </c>
      <c r="D895" s="128"/>
      <c r="E895" s="19">
        <f>IF(H893="",H889*0.05,H893)</f>
        <v>125.37</v>
      </c>
      <c r="F895" s="3"/>
      <c r="G895" s="30"/>
    </row>
    <row r="896" spans="1:9" ht="18.600000000000001" thickBot="1" x14ac:dyDescent="0.5">
      <c r="A896" s="86"/>
      <c r="B896" s="132" t="s">
        <v>14</v>
      </c>
      <c r="C896" s="126"/>
      <c r="D896" s="126"/>
      <c r="E896" s="19">
        <f t="shared" ref="E896" si="662">SUM(E894:E895)</f>
        <v>125.37</v>
      </c>
      <c r="F896" s="3"/>
      <c r="G896" s="30"/>
    </row>
    <row r="897" spans="1:9" ht="18.600000000000001" thickBot="1" x14ac:dyDescent="0.5">
      <c r="A897" s="97" t="s">
        <v>15</v>
      </c>
      <c r="B897" s="98"/>
      <c r="C897" s="98"/>
      <c r="D897" s="99"/>
      <c r="E897" s="20">
        <f t="shared" ref="E897" si="663">E888+E893+E896</f>
        <v>5153.2289166666724</v>
      </c>
      <c r="F897" s="3"/>
    </row>
    <row r="898" spans="1:9" ht="18.600000000000001" thickBot="1" x14ac:dyDescent="0.5">
      <c r="A898" s="6"/>
      <c r="B898" s="126" t="s">
        <v>16</v>
      </c>
      <c r="C898" s="126"/>
      <c r="D898" s="126"/>
      <c r="E898" s="19">
        <f t="shared" ref="E898" si="664">H889</f>
        <v>2507.4</v>
      </c>
      <c r="F898" s="3"/>
    </row>
    <row r="899" spans="1:9" ht="18.600000000000001" thickBot="1" x14ac:dyDescent="0.5">
      <c r="A899" s="97" t="s">
        <v>17</v>
      </c>
      <c r="B899" s="98"/>
      <c r="C899" s="98"/>
      <c r="D899" s="99"/>
      <c r="E899" s="20">
        <f t="shared" ref="E899" si="665">E898</f>
        <v>2507.4</v>
      </c>
      <c r="F899" s="3"/>
    </row>
    <row r="900" spans="1:9" ht="18.600000000000001" thickBot="1" x14ac:dyDescent="0.5">
      <c r="A900" s="96" t="s">
        <v>18</v>
      </c>
      <c r="B900" s="96"/>
      <c r="C900" s="96"/>
      <c r="D900" s="96"/>
      <c r="E900" s="14">
        <f t="shared" ref="E900" si="666">12*H884</f>
        <v>516</v>
      </c>
      <c r="F900" s="3"/>
    </row>
    <row r="901" spans="1:9" ht="18.600000000000001" thickBot="1" x14ac:dyDescent="0.5">
      <c r="A901" s="3"/>
      <c r="B901" s="3"/>
      <c r="C901" s="3"/>
      <c r="D901" s="3"/>
      <c r="E901" s="3"/>
      <c r="F901" s="3"/>
    </row>
    <row r="902" spans="1:9" ht="18.600000000000001" thickBot="1" x14ac:dyDescent="0.5">
      <c r="A902" s="12" t="s">
        <v>19</v>
      </c>
      <c r="B902" s="12"/>
      <c r="C902" s="12"/>
      <c r="D902" s="12"/>
      <c r="E902" s="15">
        <f t="shared" ref="E902" si="667">-((E899-E897)/E900)</f>
        <v>5.1275754198966519</v>
      </c>
      <c r="F902" s="3" t="s">
        <v>20</v>
      </c>
    </row>
    <row r="903" spans="1:9" x14ac:dyDescent="0.45">
      <c r="A903" s="3"/>
      <c r="B903" s="3"/>
      <c r="C903" s="3"/>
      <c r="D903" s="3"/>
      <c r="E903" s="3"/>
      <c r="F903" s="3"/>
    </row>
    <row r="904" spans="1:9" ht="18.600000000000001" thickBot="1" x14ac:dyDescent="0.5">
      <c r="A904" s="3"/>
      <c r="B904" s="3"/>
      <c r="D904" s="3"/>
      <c r="E904" s="3"/>
      <c r="F904" s="3"/>
    </row>
    <row r="905" spans="1:9" ht="18.600000000000001" thickBot="1" x14ac:dyDescent="0.5">
      <c r="A905" s="10" t="s">
        <v>4</v>
      </c>
      <c r="B905" s="3"/>
      <c r="C905" s="3"/>
      <c r="D905" s="3"/>
      <c r="E905" s="4" t="s">
        <v>1</v>
      </c>
      <c r="F905" s="4"/>
      <c r="G905" s="38" t="s">
        <v>508</v>
      </c>
      <c r="H905" s="42">
        <f t="shared" ref="H905" si="668">H884+1</f>
        <v>44</v>
      </c>
      <c r="I905" t="s">
        <v>509</v>
      </c>
    </row>
    <row r="906" spans="1:9" ht="18.600000000000001" thickBot="1" x14ac:dyDescent="0.5">
      <c r="A906" s="133" t="s">
        <v>5</v>
      </c>
      <c r="B906" s="133"/>
      <c r="C906" s="133"/>
      <c r="D906" s="133"/>
      <c r="E906" s="11" t="s">
        <v>0</v>
      </c>
      <c r="F906" s="3"/>
      <c r="G906" s="36" t="s">
        <v>464</v>
      </c>
      <c r="H906" s="37">
        <f t="shared" ref="H906:H956" si="669">H885</f>
        <v>3980</v>
      </c>
      <c r="I906" t="s">
        <v>465</v>
      </c>
    </row>
    <row r="907" spans="1:9" ht="18.600000000000001" thickBot="1" x14ac:dyDescent="0.5">
      <c r="A907" s="85"/>
      <c r="B907" s="87"/>
      <c r="C907" s="127" t="s">
        <v>3</v>
      </c>
      <c r="D907" s="128"/>
      <c r="E907" s="29">
        <f t="shared" ref="E907" si="670">IF(H909="",0,H909)</f>
        <v>0</v>
      </c>
      <c r="F907" s="3"/>
      <c r="G907" s="25" t="s">
        <v>466</v>
      </c>
      <c r="H907" s="43">
        <f t="shared" si="669"/>
        <v>0.65</v>
      </c>
      <c r="I907" t="s">
        <v>469</v>
      </c>
    </row>
    <row r="908" spans="1:9" ht="18.600000000000001" thickBot="1" x14ac:dyDescent="0.5">
      <c r="A908" s="86"/>
      <c r="B908" s="88"/>
      <c r="C908" s="127" t="s">
        <v>6</v>
      </c>
      <c r="D908" s="128"/>
      <c r="E908" s="19">
        <f>IF(H912="",$H$7*0.06,H912)</f>
        <v>238.79999999999998</v>
      </c>
      <c r="F908" s="3"/>
      <c r="G908" s="25" t="s">
        <v>467</v>
      </c>
      <c r="H908" s="37">
        <f t="shared" si="669"/>
        <v>35</v>
      </c>
      <c r="I908" t="s">
        <v>468</v>
      </c>
    </row>
    <row r="909" spans="1:9" ht="18.600000000000001" thickBot="1" x14ac:dyDescent="0.5">
      <c r="A909" s="86"/>
      <c r="B909" s="91" t="s">
        <v>7</v>
      </c>
      <c r="C909" s="92"/>
      <c r="D909" s="92"/>
      <c r="E909" s="19">
        <f t="shared" ref="E909" si="671">SUM(E907:E908)</f>
        <v>238.79999999999998</v>
      </c>
      <c r="F909" s="3"/>
      <c r="G909" s="28" t="s">
        <v>3</v>
      </c>
      <c r="H909" s="37">
        <f t="shared" si="669"/>
        <v>0</v>
      </c>
      <c r="I909" t="s">
        <v>465</v>
      </c>
    </row>
    <row r="910" spans="1:9" ht="18.600000000000001" thickBot="1" x14ac:dyDescent="0.5">
      <c r="A910" s="86"/>
      <c r="B910" s="7"/>
      <c r="C910" s="5" t="s">
        <v>8</v>
      </c>
      <c r="D910" s="5"/>
      <c r="E910" s="49">
        <f t="shared" ref="E910" si="672">_xlfn.SWITCH(H905,1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910" s="3"/>
      <c r="G910" s="28" t="s">
        <v>16</v>
      </c>
      <c r="H910" s="37">
        <f>真実の家賃!$I$8*AD46</f>
        <v>2507.4</v>
      </c>
      <c r="I910" t="s">
        <v>465</v>
      </c>
    </row>
    <row r="911" spans="1:9" ht="18.600000000000001" thickBot="1" x14ac:dyDescent="0.5">
      <c r="A911" s="86"/>
      <c r="B911" s="8"/>
      <c r="C911" s="127" t="s">
        <v>2</v>
      </c>
      <c r="D911" s="128"/>
      <c r="E911" s="19">
        <f t="shared" ref="E911" si="673">IF(H913="",H905*15,H913)</f>
        <v>660</v>
      </c>
      <c r="F911" s="3"/>
      <c r="G911" s="56" t="s">
        <v>573</v>
      </c>
      <c r="H911" s="40" t="str">
        <f t="shared" si="669"/>
        <v/>
      </c>
      <c r="I911" t="s">
        <v>465</v>
      </c>
    </row>
    <row r="912" spans="1:9" ht="18.600000000000001" thickBot="1" x14ac:dyDescent="0.5">
      <c r="A912" s="86"/>
      <c r="B912" s="8"/>
      <c r="C912" s="129" t="s">
        <v>9</v>
      </c>
      <c r="D912" s="129"/>
      <c r="E912" s="19">
        <f t="shared" ref="E912" si="674">_xlfn.SWITCH(H905,1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912" s="3"/>
      <c r="G912" s="34" t="s">
        <v>6</v>
      </c>
      <c r="H912" s="40" t="str">
        <f t="shared" si="669"/>
        <v/>
      </c>
      <c r="I912" t="s">
        <v>465</v>
      </c>
    </row>
    <row r="913" spans="1:9" ht="18.600000000000001" thickBot="1" x14ac:dyDescent="0.5">
      <c r="A913" s="86"/>
      <c r="B913" s="8"/>
      <c r="C913" s="130" t="s">
        <v>10</v>
      </c>
      <c r="D913" s="131"/>
      <c r="E913" s="49">
        <f t="shared" ref="E913" si="675">IF(H911="",$Z$3,H905*H911)</f>
        <v>0</v>
      </c>
      <c r="F913" s="3"/>
      <c r="G913" s="28" t="s">
        <v>560</v>
      </c>
      <c r="H913" s="40" t="str">
        <f t="shared" si="669"/>
        <v/>
      </c>
      <c r="I913" t="s">
        <v>465</v>
      </c>
    </row>
    <row r="914" spans="1:9" ht="18.600000000000001" thickBot="1" x14ac:dyDescent="0.5">
      <c r="A914" s="86"/>
      <c r="B914" s="132" t="s">
        <v>11</v>
      </c>
      <c r="C914" s="126"/>
      <c r="D914" s="126"/>
      <c r="E914" s="19">
        <f t="shared" ref="E914" si="676">SUM(E910:E913)</f>
        <v>4804.0589166666723</v>
      </c>
      <c r="F914" s="3"/>
      <c r="G914" s="33" t="s">
        <v>561</v>
      </c>
      <c r="H914" s="41" t="str">
        <f t="shared" si="669"/>
        <v/>
      </c>
      <c r="I914" t="s">
        <v>465</v>
      </c>
    </row>
    <row r="915" spans="1:9" ht="18.600000000000001" thickBot="1" x14ac:dyDescent="0.5">
      <c r="A915" s="86"/>
      <c r="B915" s="7"/>
      <c r="C915" s="127" t="s">
        <v>12</v>
      </c>
      <c r="D915" s="128"/>
      <c r="E915" s="19">
        <f t="shared" ref="E915" si="677">_xlfn.SWITCH(H905,1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915" s="3"/>
      <c r="G915" s="30"/>
    </row>
    <row r="916" spans="1:9" ht="18.600000000000001" thickBot="1" x14ac:dyDescent="0.5">
      <c r="A916" s="86"/>
      <c r="B916" s="8"/>
      <c r="C916" s="127" t="s">
        <v>13</v>
      </c>
      <c r="D916" s="128"/>
      <c r="E916" s="19">
        <f>IF(H914="",H910*0.05,H914)</f>
        <v>125.37</v>
      </c>
      <c r="F916" s="3"/>
      <c r="G916" s="30"/>
    </row>
    <row r="917" spans="1:9" ht="18.600000000000001" thickBot="1" x14ac:dyDescent="0.5">
      <c r="A917" s="86"/>
      <c r="B917" s="132" t="s">
        <v>14</v>
      </c>
      <c r="C917" s="126"/>
      <c r="D917" s="126"/>
      <c r="E917" s="19">
        <f t="shared" ref="E917" si="678">SUM(E915:E916)</f>
        <v>125.37</v>
      </c>
      <c r="F917" s="3"/>
      <c r="G917" s="30"/>
    </row>
    <row r="918" spans="1:9" ht="18.600000000000001" thickBot="1" x14ac:dyDescent="0.5">
      <c r="A918" s="97" t="s">
        <v>15</v>
      </c>
      <c r="B918" s="98"/>
      <c r="C918" s="98"/>
      <c r="D918" s="99"/>
      <c r="E918" s="20">
        <f t="shared" ref="E918" si="679">E909+E914+E917</f>
        <v>5168.2289166666724</v>
      </c>
      <c r="F918" s="3"/>
    </row>
    <row r="919" spans="1:9" ht="18.600000000000001" thickBot="1" x14ac:dyDescent="0.5">
      <c r="A919" s="6"/>
      <c r="B919" s="126" t="s">
        <v>16</v>
      </c>
      <c r="C919" s="126"/>
      <c r="D919" s="126"/>
      <c r="E919" s="19">
        <f t="shared" ref="E919" si="680">H910</f>
        <v>2507.4</v>
      </c>
      <c r="F919" s="3"/>
    </row>
    <row r="920" spans="1:9" ht="18.600000000000001" thickBot="1" x14ac:dyDescent="0.5">
      <c r="A920" s="97" t="s">
        <v>17</v>
      </c>
      <c r="B920" s="98"/>
      <c r="C920" s="98"/>
      <c r="D920" s="99"/>
      <c r="E920" s="20">
        <f t="shared" ref="E920" si="681">E919</f>
        <v>2507.4</v>
      </c>
      <c r="F920" s="3"/>
    </row>
    <row r="921" spans="1:9" ht="18.600000000000001" thickBot="1" x14ac:dyDescent="0.5">
      <c r="A921" s="96" t="s">
        <v>18</v>
      </c>
      <c r="B921" s="96"/>
      <c r="C921" s="96"/>
      <c r="D921" s="96"/>
      <c r="E921" s="14">
        <f t="shared" ref="E921" si="682">12*H905</f>
        <v>528</v>
      </c>
      <c r="F921" s="3"/>
    </row>
    <row r="922" spans="1:9" ht="18.600000000000001" thickBot="1" x14ac:dyDescent="0.5">
      <c r="A922" s="3"/>
      <c r="B922" s="3"/>
      <c r="C922" s="3"/>
      <c r="D922" s="3"/>
      <c r="E922" s="3"/>
      <c r="F922" s="3"/>
    </row>
    <row r="923" spans="1:9" ht="18.600000000000001" thickBot="1" x14ac:dyDescent="0.5">
      <c r="A923" s="12" t="s">
        <v>19</v>
      </c>
      <c r="B923" s="12"/>
      <c r="C923" s="12"/>
      <c r="D923" s="12"/>
      <c r="E923" s="15">
        <f t="shared" ref="E923" si="683">-((E920-E918)/E921)</f>
        <v>5.0394487058080912</v>
      </c>
      <c r="F923" s="3" t="s">
        <v>20</v>
      </c>
    </row>
    <row r="924" spans="1:9" x14ac:dyDescent="0.45">
      <c r="A924" s="3"/>
      <c r="B924" s="3"/>
      <c r="C924" s="3"/>
      <c r="D924" s="3"/>
      <c r="E924" s="3"/>
      <c r="F924" s="3"/>
    </row>
    <row r="925" spans="1:9" ht="18.600000000000001" thickBot="1" x14ac:dyDescent="0.5">
      <c r="A925" s="3"/>
      <c r="B925" s="3"/>
      <c r="D925" s="3"/>
      <c r="E925" s="3"/>
      <c r="F925" s="3"/>
    </row>
    <row r="926" spans="1:9" ht="18.600000000000001" thickBot="1" x14ac:dyDescent="0.5">
      <c r="A926" s="10" t="s">
        <v>4</v>
      </c>
      <c r="B926" s="3"/>
      <c r="C926" s="3"/>
      <c r="D926" s="3"/>
      <c r="E926" s="4" t="s">
        <v>1</v>
      </c>
      <c r="F926" s="4"/>
      <c r="G926" s="38" t="s">
        <v>508</v>
      </c>
      <c r="H926" s="42">
        <f t="shared" ref="H926" si="684">H905+1</f>
        <v>45</v>
      </c>
      <c r="I926" t="s">
        <v>509</v>
      </c>
    </row>
    <row r="927" spans="1:9" ht="18.600000000000001" thickBot="1" x14ac:dyDescent="0.5">
      <c r="A927" s="133" t="s">
        <v>5</v>
      </c>
      <c r="B927" s="133"/>
      <c r="C927" s="133"/>
      <c r="D927" s="133"/>
      <c r="E927" s="11" t="s">
        <v>0</v>
      </c>
      <c r="F927" s="3"/>
      <c r="G927" s="36" t="s">
        <v>464</v>
      </c>
      <c r="H927" s="37">
        <f t="shared" ref="H927:H977" si="685">H906</f>
        <v>3980</v>
      </c>
      <c r="I927" t="s">
        <v>465</v>
      </c>
    </row>
    <row r="928" spans="1:9" ht="18.600000000000001" thickBot="1" x14ac:dyDescent="0.5">
      <c r="A928" s="85"/>
      <c r="B928" s="87"/>
      <c r="C928" s="127" t="s">
        <v>3</v>
      </c>
      <c r="D928" s="128"/>
      <c r="E928" s="29">
        <f t="shared" ref="E928" si="686">IF(H930="",0,H930)</f>
        <v>0</v>
      </c>
      <c r="F928" s="3"/>
      <c r="G928" s="25" t="s">
        <v>466</v>
      </c>
      <c r="H928" s="43">
        <f t="shared" si="685"/>
        <v>0.65</v>
      </c>
      <c r="I928" t="s">
        <v>469</v>
      </c>
    </row>
    <row r="929" spans="1:9" ht="18.600000000000001" thickBot="1" x14ac:dyDescent="0.5">
      <c r="A929" s="86"/>
      <c r="B929" s="88"/>
      <c r="C929" s="127" t="s">
        <v>6</v>
      </c>
      <c r="D929" s="128"/>
      <c r="E929" s="19">
        <f>IF(H933="",$H$7*0.06,H933)</f>
        <v>238.79999999999998</v>
      </c>
      <c r="F929" s="3"/>
      <c r="G929" s="25" t="s">
        <v>467</v>
      </c>
      <c r="H929" s="37">
        <f t="shared" si="685"/>
        <v>35</v>
      </c>
      <c r="I929" t="s">
        <v>468</v>
      </c>
    </row>
    <row r="930" spans="1:9" ht="18.600000000000001" thickBot="1" x14ac:dyDescent="0.5">
      <c r="A930" s="86"/>
      <c r="B930" s="91" t="s">
        <v>7</v>
      </c>
      <c r="C930" s="92"/>
      <c r="D930" s="92"/>
      <c r="E930" s="19">
        <f t="shared" ref="E930" si="687">SUM(E928:E929)</f>
        <v>238.79999999999998</v>
      </c>
      <c r="F930" s="3"/>
      <c r="G930" s="28" t="s">
        <v>3</v>
      </c>
      <c r="H930" s="37">
        <f t="shared" si="685"/>
        <v>0</v>
      </c>
      <c r="I930" t="s">
        <v>465</v>
      </c>
    </row>
    <row r="931" spans="1:9" ht="18.600000000000001" thickBot="1" x14ac:dyDescent="0.5">
      <c r="A931" s="86"/>
      <c r="B931" s="7"/>
      <c r="C931" s="5" t="s">
        <v>8</v>
      </c>
      <c r="D931" s="5"/>
      <c r="E931" s="49">
        <f t="shared" ref="E931" si="688">_xlfn.SWITCH(H926,1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931" s="3"/>
      <c r="G931" s="28" t="s">
        <v>16</v>
      </c>
      <c r="H931" s="37">
        <f>真実の家賃!$I$8*AD47</f>
        <v>2507.4</v>
      </c>
      <c r="I931" t="s">
        <v>465</v>
      </c>
    </row>
    <row r="932" spans="1:9" ht="18.600000000000001" thickBot="1" x14ac:dyDescent="0.5">
      <c r="A932" s="86"/>
      <c r="B932" s="8"/>
      <c r="C932" s="127" t="s">
        <v>2</v>
      </c>
      <c r="D932" s="128"/>
      <c r="E932" s="19">
        <f t="shared" ref="E932" si="689">IF(H934="",H926*15,H934)</f>
        <v>675</v>
      </c>
      <c r="F932" s="3"/>
      <c r="G932" s="56" t="s">
        <v>573</v>
      </c>
      <c r="H932" s="40" t="str">
        <f t="shared" si="685"/>
        <v/>
      </c>
      <c r="I932" t="s">
        <v>465</v>
      </c>
    </row>
    <row r="933" spans="1:9" ht="18.600000000000001" thickBot="1" x14ac:dyDescent="0.5">
      <c r="A933" s="86"/>
      <c r="B933" s="8"/>
      <c r="C933" s="129" t="s">
        <v>9</v>
      </c>
      <c r="D933" s="129"/>
      <c r="E933" s="19">
        <f t="shared" ref="E933" si="690">_xlfn.SWITCH(H926,1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933" s="3"/>
      <c r="G933" s="34" t="s">
        <v>6</v>
      </c>
      <c r="H933" s="40" t="str">
        <f t="shared" si="685"/>
        <v/>
      </c>
      <c r="I933" t="s">
        <v>465</v>
      </c>
    </row>
    <row r="934" spans="1:9" ht="18.600000000000001" thickBot="1" x14ac:dyDescent="0.5">
      <c r="A934" s="86"/>
      <c r="B934" s="8"/>
      <c r="C934" s="130" t="s">
        <v>10</v>
      </c>
      <c r="D934" s="131"/>
      <c r="E934" s="49">
        <f t="shared" ref="E934" si="691">IF(H932="",$Z$3,H926*H932)</f>
        <v>0</v>
      </c>
      <c r="F934" s="3"/>
      <c r="G934" s="28" t="s">
        <v>560</v>
      </c>
      <c r="H934" s="40" t="str">
        <f t="shared" si="685"/>
        <v/>
      </c>
      <c r="I934" t="s">
        <v>465</v>
      </c>
    </row>
    <row r="935" spans="1:9" ht="18.600000000000001" thickBot="1" x14ac:dyDescent="0.5">
      <c r="A935" s="86"/>
      <c r="B935" s="132" t="s">
        <v>11</v>
      </c>
      <c r="C935" s="126"/>
      <c r="D935" s="126"/>
      <c r="E935" s="19">
        <f t="shared" ref="E935" si="692">SUM(E931:E934)</f>
        <v>4819.0589166666723</v>
      </c>
      <c r="F935" s="3"/>
      <c r="G935" s="33" t="s">
        <v>561</v>
      </c>
      <c r="H935" s="41" t="str">
        <f t="shared" si="685"/>
        <v/>
      </c>
      <c r="I935" t="s">
        <v>465</v>
      </c>
    </row>
    <row r="936" spans="1:9" ht="18.600000000000001" thickBot="1" x14ac:dyDescent="0.5">
      <c r="A936" s="86"/>
      <c r="B936" s="7"/>
      <c r="C936" s="127" t="s">
        <v>12</v>
      </c>
      <c r="D936" s="128"/>
      <c r="E936" s="19">
        <f t="shared" ref="E936" si="693">_xlfn.SWITCH(H926,1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936" s="3"/>
      <c r="G936" s="30"/>
    </row>
    <row r="937" spans="1:9" ht="18.600000000000001" thickBot="1" x14ac:dyDescent="0.5">
      <c r="A937" s="86"/>
      <c r="B937" s="8"/>
      <c r="C937" s="127" t="s">
        <v>13</v>
      </c>
      <c r="D937" s="128"/>
      <c r="E937" s="19">
        <f>IF(H935="",H931*0.05,H935)</f>
        <v>125.37</v>
      </c>
      <c r="F937" s="3"/>
      <c r="G937" s="30"/>
    </row>
    <row r="938" spans="1:9" ht="18.600000000000001" thickBot="1" x14ac:dyDescent="0.5">
      <c r="A938" s="86"/>
      <c r="B938" s="132" t="s">
        <v>14</v>
      </c>
      <c r="C938" s="126"/>
      <c r="D938" s="126"/>
      <c r="E938" s="19">
        <f t="shared" ref="E938" si="694">SUM(E936:E937)</f>
        <v>125.37</v>
      </c>
      <c r="F938" s="3"/>
      <c r="G938" s="30"/>
    </row>
    <row r="939" spans="1:9" ht="18.600000000000001" thickBot="1" x14ac:dyDescent="0.5">
      <c r="A939" s="97" t="s">
        <v>15</v>
      </c>
      <c r="B939" s="98"/>
      <c r="C939" s="98"/>
      <c r="D939" s="99"/>
      <c r="E939" s="20">
        <f t="shared" ref="E939" si="695">E930+E935+E938</f>
        <v>5183.2289166666724</v>
      </c>
      <c r="F939" s="3"/>
    </row>
    <row r="940" spans="1:9" ht="18.600000000000001" thickBot="1" x14ac:dyDescent="0.5">
      <c r="A940" s="6"/>
      <c r="B940" s="126" t="s">
        <v>16</v>
      </c>
      <c r="C940" s="126"/>
      <c r="D940" s="126"/>
      <c r="E940" s="19">
        <f t="shared" ref="E940" si="696">H931</f>
        <v>2507.4</v>
      </c>
      <c r="F940" s="3"/>
    </row>
    <row r="941" spans="1:9" ht="18.600000000000001" thickBot="1" x14ac:dyDescent="0.5">
      <c r="A941" s="97" t="s">
        <v>17</v>
      </c>
      <c r="B941" s="98"/>
      <c r="C941" s="98"/>
      <c r="D941" s="99"/>
      <c r="E941" s="20">
        <f t="shared" ref="E941" si="697">E940</f>
        <v>2507.4</v>
      </c>
      <c r="F941" s="3"/>
    </row>
    <row r="942" spans="1:9" ht="18.600000000000001" thickBot="1" x14ac:dyDescent="0.5">
      <c r="A942" s="96" t="s">
        <v>18</v>
      </c>
      <c r="B942" s="96"/>
      <c r="C942" s="96"/>
      <c r="D942" s="96"/>
      <c r="E942" s="14">
        <f t="shared" ref="E942" si="698">12*H926</f>
        <v>540</v>
      </c>
      <c r="F942" s="3"/>
    </row>
    <row r="943" spans="1:9" ht="18.600000000000001" thickBot="1" x14ac:dyDescent="0.5">
      <c r="A943" s="3"/>
      <c r="B943" s="3"/>
      <c r="C943" s="3"/>
      <c r="D943" s="3"/>
      <c r="E943" s="3"/>
      <c r="F943" s="3"/>
    </row>
    <row r="944" spans="1:9" ht="18.600000000000001" thickBot="1" x14ac:dyDescent="0.5">
      <c r="A944" s="12" t="s">
        <v>19</v>
      </c>
      <c r="B944" s="12"/>
      <c r="C944" s="12"/>
      <c r="D944" s="12"/>
      <c r="E944" s="15">
        <f t="shared" ref="E944" si="699">-((E941-E939)/E942)</f>
        <v>4.9552387345679119</v>
      </c>
      <c r="F944" s="3" t="s">
        <v>20</v>
      </c>
    </row>
    <row r="945" spans="1:9" x14ac:dyDescent="0.45">
      <c r="A945" s="3"/>
      <c r="B945" s="3"/>
      <c r="C945" s="3"/>
      <c r="D945" s="3"/>
      <c r="E945" s="3"/>
      <c r="F945" s="3"/>
    </row>
    <row r="946" spans="1:9" ht="18.600000000000001" thickBot="1" x14ac:dyDescent="0.5">
      <c r="A946" s="3"/>
      <c r="B946" s="3"/>
      <c r="D946" s="3"/>
      <c r="E946" s="3"/>
      <c r="F946" s="3"/>
    </row>
    <row r="947" spans="1:9" ht="18.600000000000001" thickBot="1" x14ac:dyDescent="0.5">
      <c r="A947" s="10" t="s">
        <v>4</v>
      </c>
      <c r="B947" s="3"/>
      <c r="C947" s="3"/>
      <c r="D947" s="3"/>
      <c r="E947" s="4" t="s">
        <v>1</v>
      </c>
      <c r="F947" s="4"/>
      <c r="G947" s="38" t="s">
        <v>508</v>
      </c>
      <c r="H947" s="42">
        <f t="shared" ref="H947" si="700">H926+1</f>
        <v>46</v>
      </c>
      <c r="I947" t="s">
        <v>509</v>
      </c>
    </row>
    <row r="948" spans="1:9" ht="18.600000000000001" thickBot="1" x14ac:dyDescent="0.5">
      <c r="A948" s="133" t="s">
        <v>5</v>
      </c>
      <c r="B948" s="133"/>
      <c r="C948" s="133"/>
      <c r="D948" s="133"/>
      <c r="E948" s="11" t="s">
        <v>0</v>
      </c>
      <c r="F948" s="3"/>
      <c r="G948" s="36" t="s">
        <v>464</v>
      </c>
      <c r="H948" s="37">
        <f t="shared" ref="H948:H953" si="701">H927</f>
        <v>3980</v>
      </c>
      <c r="I948" t="s">
        <v>465</v>
      </c>
    </row>
    <row r="949" spans="1:9" ht="18.600000000000001" thickBot="1" x14ac:dyDescent="0.5">
      <c r="A949" s="85"/>
      <c r="B949" s="87"/>
      <c r="C949" s="127" t="s">
        <v>3</v>
      </c>
      <c r="D949" s="128"/>
      <c r="E949" s="29">
        <f t="shared" ref="E949" si="702">IF(H951="",0,H951)</f>
        <v>0</v>
      </c>
      <c r="F949" s="3"/>
      <c r="G949" s="25" t="s">
        <v>466</v>
      </c>
      <c r="H949" s="43">
        <f t="shared" si="701"/>
        <v>0.65</v>
      </c>
      <c r="I949" t="s">
        <v>469</v>
      </c>
    </row>
    <row r="950" spans="1:9" ht="18.600000000000001" thickBot="1" x14ac:dyDescent="0.5">
      <c r="A950" s="86"/>
      <c r="B950" s="88"/>
      <c r="C950" s="127" t="s">
        <v>6</v>
      </c>
      <c r="D950" s="128"/>
      <c r="E950" s="19">
        <f>IF(H954="",$H$7*0.06,H954)</f>
        <v>238.79999999999998</v>
      </c>
      <c r="F950" s="3"/>
      <c r="G950" s="25" t="s">
        <v>467</v>
      </c>
      <c r="H950" s="37">
        <f t="shared" si="701"/>
        <v>35</v>
      </c>
      <c r="I950" t="s">
        <v>468</v>
      </c>
    </row>
    <row r="951" spans="1:9" ht="18.600000000000001" thickBot="1" x14ac:dyDescent="0.5">
      <c r="A951" s="86"/>
      <c r="B951" s="91" t="s">
        <v>7</v>
      </c>
      <c r="C951" s="92"/>
      <c r="D951" s="92"/>
      <c r="E951" s="19">
        <f t="shared" ref="E951" si="703">SUM(E949:E950)</f>
        <v>238.79999999999998</v>
      </c>
      <c r="F951" s="3"/>
      <c r="G951" s="28" t="s">
        <v>3</v>
      </c>
      <c r="H951" s="37">
        <f t="shared" si="701"/>
        <v>0</v>
      </c>
      <c r="I951" t="s">
        <v>465</v>
      </c>
    </row>
    <row r="952" spans="1:9" ht="18.600000000000001" thickBot="1" x14ac:dyDescent="0.5">
      <c r="A952" s="86"/>
      <c r="B952" s="7"/>
      <c r="C952" s="5" t="s">
        <v>8</v>
      </c>
      <c r="D952" s="5"/>
      <c r="E952" s="49">
        <f t="shared" ref="E952" si="704">_xlfn.SWITCH(H947,1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952" s="3"/>
      <c r="G952" s="28" t="s">
        <v>16</v>
      </c>
      <c r="H952" s="37">
        <f>真実の家賃!$I$8*AD48</f>
        <v>2507.4</v>
      </c>
      <c r="I952" t="s">
        <v>465</v>
      </c>
    </row>
    <row r="953" spans="1:9" ht="18.600000000000001" thickBot="1" x14ac:dyDescent="0.5">
      <c r="A953" s="86"/>
      <c r="B953" s="8"/>
      <c r="C953" s="127" t="s">
        <v>2</v>
      </c>
      <c r="D953" s="128"/>
      <c r="E953" s="19">
        <f t="shared" ref="E953" si="705">IF(H955="",H947*15,H955)</f>
        <v>690</v>
      </c>
      <c r="F953" s="3"/>
      <c r="G953" s="56" t="s">
        <v>573</v>
      </c>
      <c r="H953" s="40" t="str">
        <f t="shared" si="701"/>
        <v/>
      </c>
      <c r="I953" t="s">
        <v>465</v>
      </c>
    </row>
    <row r="954" spans="1:9" ht="18.600000000000001" thickBot="1" x14ac:dyDescent="0.5">
      <c r="A954" s="86"/>
      <c r="B954" s="8"/>
      <c r="C954" s="129" t="s">
        <v>9</v>
      </c>
      <c r="D954" s="129"/>
      <c r="E954" s="19">
        <f t="shared" ref="E954" si="706">_xlfn.SWITCH(H947,1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954" s="3"/>
      <c r="G954" s="34" t="s">
        <v>6</v>
      </c>
      <c r="H954" s="40" t="str">
        <f t="shared" si="669"/>
        <v/>
      </c>
      <c r="I954" t="s">
        <v>465</v>
      </c>
    </row>
    <row r="955" spans="1:9" ht="18.600000000000001" thickBot="1" x14ac:dyDescent="0.5">
      <c r="A955" s="86"/>
      <c r="B955" s="8"/>
      <c r="C955" s="130" t="s">
        <v>10</v>
      </c>
      <c r="D955" s="131"/>
      <c r="E955" s="49">
        <f t="shared" ref="E955" si="707">IF(H953="",$Z$3,H947*H953)</f>
        <v>0</v>
      </c>
      <c r="F955" s="3"/>
      <c r="G955" s="28" t="s">
        <v>560</v>
      </c>
      <c r="H955" s="40" t="str">
        <f t="shared" si="669"/>
        <v/>
      </c>
      <c r="I955" t="s">
        <v>465</v>
      </c>
    </row>
    <row r="956" spans="1:9" ht="18.600000000000001" thickBot="1" x14ac:dyDescent="0.5">
      <c r="A956" s="86"/>
      <c r="B956" s="132" t="s">
        <v>11</v>
      </c>
      <c r="C956" s="126"/>
      <c r="D956" s="126"/>
      <c r="E956" s="19">
        <f t="shared" ref="E956" si="708">SUM(E952:E955)</f>
        <v>4834.0589166666723</v>
      </c>
      <c r="F956" s="3"/>
      <c r="G956" s="33" t="s">
        <v>561</v>
      </c>
      <c r="H956" s="41" t="str">
        <f t="shared" si="669"/>
        <v/>
      </c>
      <c r="I956" t="s">
        <v>465</v>
      </c>
    </row>
    <row r="957" spans="1:9" ht="18.600000000000001" thickBot="1" x14ac:dyDescent="0.5">
      <c r="A957" s="86"/>
      <c r="B957" s="7"/>
      <c r="C957" s="127" t="s">
        <v>12</v>
      </c>
      <c r="D957" s="128"/>
      <c r="E957" s="19">
        <f t="shared" ref="E957" si="709">_xlfn.SWITCH(H947,1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957" s="3"/>
      <c r="G957" s="30"/>
    </row>
    <row r="958" spans="1:9" ht="18.600000000000001" thickBot="1" x14ac:dyDescent="0.5">
      <c r="A958" s="86"/>
      <c r="B958" s="8"/>
      <c r="C958" s="127" t="s">
        <v>13</v>
      </c>
      <c r="D958" s="128"/>
      <c r="E958" s="19">
        <f>IF(H956="",H952*0.05,H956)</f>
        <v>125.37</v>
      </c>
      <c r="F958" s="3"/>
      <c r="G958" s="30"/>
    </row>
    <row r="959" spans="1:9" ht="18.600000000000001" thickBot="1" x14ac:dyDescent="0.5">
      <c r="A959" s="86"/>
      <c r="B959" s="132" t="s">
        <v>14</v>
      </c>
      <c r="C959" s="126"/>
      <c r="D959" s="126"/>
      <c r="E959" s="19">
        <f t="shared" ref="E959" si="710">SUM(E957:E958)</f>
        <v>125.37</v>
      </c>
      <c r="F959" s="3"/>
      <c r="G959" s="30"/>
    </row>
    <row r="960" spans="1:9" ht="18.600000000000001" thickBot="1" x14ac:dyDescent="0.5">
      <c r="A960" s="97" t="s">
        <v>15</v>
      </c>
      <c r="B960" s="98"/>
      <c r="C960" s="98"/>
      <c r="D960" s="99"/>
      <c r="E960" s="20">
        <f t="shared" ref="E960" si="711">E951+E956+E959</f>
        <v>5198.2289166666724</v>
      </c>
      <c r="F960" s="3"/>
    </row>
    <row r="961" spans="1:9" ht="18.600000000000001" thickBot="1" x14ac:dyDescent="0.5">
      <c r="A961" s="6"/>
      <c r="B961" s="126" t="s">
        <v>16</v>
      </c>
      <c r="C961" s="126"/>
      <c r="D961" s="126"/>
      <c r="E961" s="19">
        <f t="shared" ref="E961" si="712">H952</f>
        <v>2507.4</v>
      </c>
      <c r="F961" s="3"/>
    </row>
    <row r="962" spans="1:9" ht="18.600000000000001" thickBot="1" x14ac:dyDescent="0.5">
      <c r="A962" s="97" t="s">
        <v>17</v>
      </c>
      <c r="B962" s="98"/>
      <c r="C962" s="98"/>
      <c r="D962" s="99"/>
      <c r="E962" s="20">
        <f t="shared" ref="E962" si="713">E961</f>
        <v>2507.4</v>
      </c>
      <c r="F962" s="3"/>
    </row>
    <row r="963" spans="1:9" ht="18.600000000000001" thickBot="1" x14ac:dyDescent="0.5">
      <c r="A963" s="96" t="s">
        <v>18</v>
      </c>
      <c r="B963" s="96"/>
      <c r="C963" s="96"/>
      <c r="D963" s="96"/>
      <c r="E963" s="14">
        <f t="shared" ref="E963" si="714">12*H947</f>
        <v>552</v>
      </c>
      <c r="F963" s="3"/>
    </row>
    <row r="964" spans="1:9" ht="18.600000000000001" thickBot="1" x14ac:dyDescent="0.5">
      <c r="A964" s="3"/>
      <c r="B964" s="3"/>
      <c r="C964" s="3"/>
      <c r="D964" s="3"/>
      <c r="E964" s="3"/>
      <c r="F964" s="3"/>
    </row>
    <row r="965" spans="1:9" ht="18.600000000000001" thickBot="1" x14ac:dyDescent="0.5">
      <c r="A965" s="12" t="s">
        <v>19</v>
      </c>
      <c r="B965" s="12"/>
      <c r="C965" s="12"/>
      <c r="D965" s="12"/>
      <c r="E965" s="15">
        <f t="shared" ref="E965" si="715">-((E962-E960)/E963)</f>
        <v>4.8746900664251314</v>
      </c>
      <c r="F965" s="3" t="s">
        <v>20</v>
      </c>
    </row>
    <row r="966" spans="1:9" x14ac:dyDescent="0.45">
      <c r="A966" s="3"/>
      <c r="B966" s="3"/>
      <c r="C966" s="3"/>
      <c r="D966" s="3"/>
      <c r="E966" s="3"/>
      <c r="F966" s="3"/>
    </row>
    <row r="967" spans="1:9" ht="18.600000000000001" thickBot="1" x14ac:dyDescent="0.5">
      <c r="A967" s="3"/>
      <c r="B967" s="3"/>
      <c r="D967" s="3"/>
      <c r="E967" s="3"/>
      <c r="F967" s="3"/>
    </row>
    <row r="968" spans="1:9" ht="18.600000000000001" thickBot="1" x14ac:dyDescent="0.5">
      <c r="A968" s="10" t="s">
        <v>4</v>
      </c>
      <c r="B968" s="3"/>
      <c r="C968" s="3"/>
      <c r="D968" s="3"/>
      <c r="E968" s="4" t="s">
        <v>1</v>
      </c>
      <c r="F968" s="4"/>
      <c r="G968" s="38" t="s">
        <v>508</v>
      </c>
      <c r="H968" s="42">
        <f t="shared" ref="H968" si="716">H947+1</f>
        <v>47</v>
      </c>
      <c r="I968" t="s">
        <v>509</v>
      </c>
    </row>
    <row r="969" spans="1:9" ht="18.600000000000001" thickBot="1" x14ac:dyDescent="0.5">
      <c r="A969" s="133" t="s">
        <v>5</v>
      </c>
      <c r="B969" s="133"/>
      <c r="C969" s="133"/>
      <c r="D969" s="133"/>
      <c r="E969" s="11" t="s">
        <v>0</v>
      </c>
      <c r="F969" s="3"/>
      <c r="G969" s="36" t="s">
        <v>464</v>
      </c>
      <c r="H969" s="37">
        <f t="shared" ref="H969:H974" si="717">H948</f>
        <v>3980</v>
      </c>
      <c r="I969" t="s">
        <v>465</v>
      </c>
    </row>
    <row r="970" spans="1:9" ht="18.600000000000001" thickBot="1" x14ac:dyDescent="0.5">
      <c r="A970" s="85"/>
      <c r="B970" s="87"/>
      <c r="C970" s="127" t="s">
        <v>3</v>
      </c>
      <c r="D970" s="128"/>
      <c r="E970" s="29">
        <f t="shared" ref="E970" si="718">IF(H972="",0,H972)</f>
        <v>0</v>
      </c>
      <c r="F970" s="3"/>
      <c r="G970" s="25" t="s">
        <v>466</v>
      </c>
      <c r="H970" s="43">
        <f t="shared" si="717"/>
        <v>0.65</v>
      </c>
      <c r="I970" t="s">
        <v>469</v>
      </c>
    </row>
    <row r="971" spans="1:9" ht="18.600000000000001" thickBot="1" x14ac:dyDescent="0.5">
      <c r="A971" s="86"/>
      <c r="B971" s="88"/>
      <c r="C971" s="127" t="s">
        <v>6</v>
      </c>
      <c r="D971" s="128"/>
      <c r="E971" s="19">
        <f>IF(H975="",$H$7*0.06,H975)</f>
        <v>238.79999999999998</v>
      </c>
      <c r="F971" s="3"/>
      <c r="G971" s="25" t="s">
        <v>467</v>
      </c>
      <c r="H971" s="37">
        <f t="shared" si="717"/>
        <v>35</v>
      </c>
      <c r="I971" t="s">
        <v>468</v>
      </c>
    </row>
    <row r="972" spans="1:9" ht="18.600000000000001" thickBot="1" x14ac:dyDescent="0.5">
      <c r="A972" s="86"/>
      <c r="B972" s="91" t="s">
        <v>7</v>
      </c>
      <c r="C972" s="92"/>
      <c r="D972" s="92"/>
      <c r="E972" s="19">
        <f t="shared" ref="E972" si="719">SUM(E970:E971)</f>
        <v>238.79999999999998</v>
      </c>
      <c r="F972" s="3"/>
      <c r="G972" s="28" t="s">
        <v>3</v>
      </c>
      <c r="H972" s="37">
        <f t="shared" si="717"/>
        <v>0</v>
      </c>
      <c r="I972" t="s">
        <v>465</v>
      </c>
    </row>
    <row r="973" spans="1:9" ht="18.600000000000001" thickBot="1" x14ac:dyDescent="0.5">
      <c r="A973" s="86"/>
      <c r="B973" s="7"/>
      <c r="C973" s="5" t="s">
        <v>8</v>
      </c>
      <c r="D973" s="5"/>
      <c r="E973" s="49">
        <f t="shared" ref="E973" si="720">_xlfn.SWITCH(H968,1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973" s="3"/>
      <c r="G973" s="28" t="s">
        <v>16</v>
      </c>
      <c r="H973" s="37">
        <f>真実の家賃!$I$8*AD49</f>
        <v>2507.4</v>
      </c>
      <c r="I973" t="s">
        <v>465</v>
      </c>
    </row>
    <row r="974" spans="1:9" ht="18.600000000000001" thickBot="1" x14ac:dyDescent="0.5">
      <c r="A974" s="86"/>
      <c r="B974" s="8"/>
      <c r="C974" s="127" t="s">
        <v>2</v>
      </c>
      <c r="D974" s="128"/>
      <c r="E974" s="19">
        <f t="shared" ref="E974" si="721">IF(H976="",H968*15,H976)</f>
        <v>705</v>
      </c>
      <c r="F974" s="3"/>
      <c r="G974" s="56" t="s">
        <v>573</v>
      </c>
      <c r="H974" s="40" t="str">
        <f t="shared" si="717"/>
        <v/>
      </c>
      <c r="I974" t="s">
        <v>465</v>
      </c>
    </row>
    <row r="975" spans="1:9" ht="18.600000000000001" thickBot="1" x14ac:dyDescent="0.5">
      <c r="A975" s="86"/>
      <c r="B975" s="8"/>
      <c r="C975" s="129" t="s">
        <v>9</v>
      </c>
      <c r="D975" s="129"/>
      <c r="E975" s="19">
        <f t="shared" ref="E975" si="722">_xlfn.SWITCH(H968,1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975" s="3"/>
      <c r="G975" s="34" t="s">
        <v>6</v>
      </c>
      <c r="H975" s="40" t="str">
        <f t="shared" si="685"/>
        <v/>
      </c>
      <c r="I975" t="s">
        <v>465</v>
      </c>
    </row>
    <row r="976" spans="1:9" ht="18.600000000000001" thickBot="1" x14ac:dyDescent="0.5">
      <c r="A976" s="86"/>
      <c r="B976" s="8"/>
      <c r="C976" s="130" t="s">
        <v>10</v>
      </c>
      <c r="D976" s="131"/>
      <c r="E976" s="49">
        <f t="shared" ref="E976" si="723">IF(H974="",$Z$3,H968*H974)</f>
        <v>0</v>
      </c>
      <c r="F976" s="3"/>
      <c r="G976" s="28" t="s">
        <v>560</v>
      </c>
      <c r="H976" s="40" t="str">
        <f t="shared" si="685"/>
        <v/>
      </c>
      <c r="I976" t="s">
        <v>465</v>
      </c>
    </row>
    <row r="977" spans="1:9" ht="18.600000000000001" thickBot="1" x14ac:dyDescent="0.5">
      <c r="A977" s="86"/>
      <c r="B977" s="132" t="s">
        <v>11</v>
      </c>
      <c r="C977" s="126"/>
      <c r="D977" s="126"/>
      <c r="E977" s="19">
        <f t="shared" ref="E977" si="724">SUM(E973:E976)</f>
        <v>4849.0589166666723</v>
      </c>
      <c r="F977" s="3"/>
      <c r="G977" s="33" t="s">
        <v>561</v>
      </c>
      <c r="H977" s="41" t="str">
        <f t="shared" si="685"/>
        <v/>
      </c>
      <c r="I977" t="s">
        <v>465</v>
      </c>
    </row>
    <row r="978" spans="1:9" ht="18.600000000000001" thickBot="1" x14ac:dyDescent="0.5">
      <c r="A978" s="86"/>
      <c r="B978" s="7"/>
      <c r="C978" s="127" t="s">
        <v>12</v>
      </c>
      <c r="D978" s="128"/>
      <c r="E978" s="19">
        <f t="shared" ref="E978" si="725">_xlfn.SWITCH(H968,1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978" s="3"/>
      <c r="G978" s="30"/>
    </row>
    <row r="979" spans="1:9" ht="18.600000000000001" thickBot="1" x14ac:dyDescent="0.5">
      <c r="A979" s="86"/>
      <c r="B979" s="8"/>
      <c r="C979" s="127" t="s">
        <v>13</v>
      </c>
      <c r="D979" s="128"/>
      <c r="E979" s="19">
        <f>IF(H977="",H973*0.05,H977)</f>
        <v>125.37</v>
      </c>
      <c r="F979" s="3"/>
      <c r="G979" s="30"/>
    </row>
    <row r="980" spans="1:9" ht="18.600000000000001" thickBot="1" x14ac:dyDescent="0.5">
      <c r="A980" s="86"/>
      <c r="B980" s="132" t="s">
        <v>14</v>
      </c>
      <c r="C980" s="126"/>
      <c r="D980" s="126"/>
      <c r="E980" s="19">
        <f t="shared" ref="E980" si="726">SUM(E978:E979)</f>
        <v>125.37</v>
      </c>
      <c r="F980" s="3"/>
      <c r="G980" s="30"/>
    </row>
    <row r="981" spans="1:9" ht="18.600000000000001" thickBot="1" x14ac:dyDescent="0.5">
      <c r="A981" s="97" t="s">
        <v>15</v>
      </c>
      <c r="B981" s="98"/>
      <c r="C981" s="98"/>
      <c r="D981" s="99"/>
      <c r="E981" s="20">
        <f t="shared" ref="E981" si="727">E972+E977+E980</f>
        <v>5213.2289166666724</v>
      </c>
      <c r="F981" s="3"/>
    </row>
    <row r="982" spans="1:9" ht="18.600000000000001" thickBot="1" x14ac:dyDescent="0.5">
      <c r="A982" s="6"/>
      <c r="B982" s="126" t="s">
        <v>16</v>
      </c>
      <c r="C982" s="126"/>
      <c r="D982" s="126"/>
      <c r="E982" s="19">
        <f t="shared" ref="E982" si="728">H973</f>
        <v>2507.4</v>
      </c>
      <c r="F982" s="3"/>
    </row>
    <row r="983" spans="1:9" ht="18.600000000000001" thickBot="1" x14ac:dyDescent="0.5">
      <c r="A983" s="97" t="s">
        <v>17</v>
      </c>
      <c r="B983" s="98"/>
      <c r="C983" s="98"/>
      <c r="D983" s="99"/>
      <c r="E983" s="20">
        <f t="shared" ref="E983" si="729">E982</f>
        <v>2507.4</v>
      </c>
      <c r="F983" s="3"/>
    </row>
    <row r="984" spans="1:9" ht="18.600000000000001" thickBot="1" x14ac:dyDescent="0.5">
      <c r="A984" s="96" t="s">
        <v>18</v>
      </c>
      <c r="B984" s="96"/>
      <c r="C984" s="96"/>
      <c r="D984" s="96"/>
      <c r="E984" s="14">
        <f t="shared" ref="E984" si="730">12*H968</f>
        <v>564</v>
      </c>
      <c r="F984" s="3"/>
    </row>
    <row r="985" spans="1:9" ht="18.600000000000001" thickBot="1" x14ac:dyDescent="0.5">
      <c r="A985" s="3"/>
      <c r="B985" s="3"/>
      <c r="C985" s="3"/>
      <c r="D985" s="3"/>
      <c r="E985" s="3"/>
      <c r="F985" s="3"/>
    </row>
    <row r="986" spans="1:9" ht="18.600000000000001" thickBot="1" x14ac:dyDescent="0.5">
      <c r="A986" s="12" t="s">
        <v>19</v>
      </c>
      <c r="B986" s="12"/>
      <c r="C986" s="12"/>
      <c r="D986" s="12"/>
      <c r="E986" s="15">
        <f t="shared" ref="E986" si="731">-((E983-E981)/E984)</f>
        <v>4.7975690011820431</v>
      </c>
      <c r="F986" s="3" t="s">
        <v>20</v>
      </c>
    </row>
    <row r="987" spans="1:9" x14ac:dyDescent="0.45">
      <c r="A987" s="3"/>
      <c r="B987" s="3"/>
      <c r="C987" s="3"/>
      <c r="D987" s="3"/>
      <c r="E987" s="3"/>
      <c r="F987" s="3"/>
    </row>
    <row r="988" spans="1:9" ht="18.600000000000001" thickBot="1" x14ac:dyDescent="0.5">
      <c r="A988" s="3"/>
      <c r="B988" s="3"/>
      <c r="D988" s="3"/>
      <c r="E988" s="3"/>
      <c r="F988" s="3"/>
    </row>
    <row r="989" spans="1:9" ht="18.600000000000001" thickBot="1" x14ac:dyDescent="0.5">
      <c r="A989" s="10" t="s">
        <v>4</v>
      </c>
      <c r="B989" s="3"/>
      <c r="C989" s="3"/>
      <c r="D989" s="3"/>
      <c r="E989" s="4" t="s">
        <v>1</v>
      </c>
      <c r="F989" s="4"/>
      <c r="G989" s="38" t="s">
        <v>508</v>
      </c>
      <c r="H989" s="42">
        <f t="shared" ref="H989" si="732">H968+1</f>
        <v>48</v>
      </c>
      <c r="I989" t="s">
        <v>509</v>
      </c>
    </row>
    <row r="990" spans="1:9" ht="18.600000000000001" thickBot="1" x14ac:dyDescent="0.5">
      <c r="A990" s="133" t="s">
        <v>5</v>
      </c>
      <c r="B990" s="133"/>
      <c r="C990" s="133"/>
      <c r="D990" s="133"/>
      <c r="E990" s="11" t="s">
        <v>0</v>
      </c>
      <c r="F990" s="3"/>
      <c r="G990" s="36" t="s">
        <v>464</v>
      </c>
      <c r="H990" s="37">
        <f t="shared" ref="H990:H1040" si="733">H969</f>
        <v>3980</v>
      </c>
      <c r="I990" t="s">
        <v>465</v>
      </c>
    </row>
    <row r="991" spans="1:9" ht="18.600000000000001" thickBot="1" x14ac:dyDescent="0.5">
      <c r="A991" s="85"/>
      <c r="B991" s="87"/>
      <c r="C991" s="127" t="s">
        <v>3</v>
      </c>
      <c r="D991" s="128"/>
      <c r="E991" s="29">
        <f t="shared" ref="E991" si="734">IF(H993="",0,H993)</f>
        <v>0</v>
      </c>
      <c r="F991" s="3"/>
      <c r="G991" s="25" t="s">
        <v>466</v>
      </c>
      <c r="H991" s="43">
        <f t="shared" si="733"/>
        <v>0.65</v>
      </c>
      <c r="I991" t="s">
        <v>469</v>
      </c>
    </row>
    <row r="992" spans="1:9" ht="18.600000000000001" thickBot="1" x14ac:dyDescent="0.5">
      <c r="A992" s="86"/>
      <c r="B992" s="88"/>
      <c r="C992" s="127" t="s">
        <v>6</v>
      </c>
      <c r="D992" s="128"/>
      <c r="E992" s="19">
        <f>IF(H996="",$H$7*0.06,H996)</f>
        <v>238.79999999999998</v>
      </c>
      <c r="F992" s="3"/>
      <c r="G992" s="25" t="s">
        <v>467</v>
      </c>
      <c r="H992" s="37">
        <f t="shared" si="733"/>
        <v>35</v>
      </c>
      <c r="I992" t="s">
        <v>468</v>
      </c>
    </row>
    <row r="993" spans="1:9" ht="18.600000000000001" thickBot="1" x14ac:dyDescent="0.5">
      <c r="A993" s="86"/>
      <c r="B993" s="91" t="s">
        <v>7</v>
      </c>
      <c r="C993" s="92"/>
      <c r="D993" s="92"/>
      <c r="E993" s="19">
        <f t="shared" ref="E993" si="735">SUM(E991:E992)</f>
        <v>238.79999999999998</v>
      </c>
      <c r="F993" s="3"/>
      <c r="G993" s="28" t="s">
        <v>3</v>
      </c>
      <c r="H993" s="37">
        <f t="shared" si="733"/>
        <v>0</v>
      </c>
      <c r="I993" t="s">
        <v>465</v>
      </c>
    </row>
    <row r="994" spans="1:9" ht="18.600000000000001" thickBot="1" x14ac:dyDescent="0.5">
      <c r="A994" s="86"/>
      <c r="B994" s="7"/>
      <c r="C994" s="5" t="s">
        <v>8</v>
      </c>
      <c r="D994" s="5"/>
      <c r="E994" s="49">
        <f t="shared" ref="E994" si="736">_xlfn.SWITCH(H989,1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994" s="3"/>
      <c r="G994" s="28" t="s">
        <v>16</v>
      </c>
      <c r="H994" s="37">
        <f>真実の家賃!$I$8*AD50</f>
        <v>2507.4</v>
      </c>
      <c r="I994" t="s">
        <v>465</v>
      </c>
    </row>
    <row r="995" spans="1:9" ht="18.600000000000001" thickBot="1" x14ac:dyDescent="0.5">
      <c r="A995" s="86"/>
      <c r="B995" s="8"/>
      <c r="C995" s="127" t="s">
        <v>2</v>
      </c>
      <c r="D995" s="128"/>
      <c r="E995" s="19">
        <f t="shared" ref="E995" si="737">IF(H997="",H989*15,H997)</f>
        <v>720</v>
      </c>
      <c r="F995" s="3"/>
      <c r="G995" s="56" t="s">
        <v>573</v>
      </c>
      <c r="H995" s="40" t="str">
        <f t="shared" si="733"/>
        <v/>
      </c>
      <c r="I995" t="s">
        <v>465</v>
      </c>
    </row>
    <row r="996" spans="1:9" ht="18.600000000000001" thickBot="1" x14ac:dyDescent="0.5">
      <c r="A996" s="86"/>
      <c r="B996" s="8"/>
      <c r="C996" s="129" t="s">
        <v>9</v>
      </c>
      <c r="D996" s="129"/>
      <c r="E996" s="19">
        <f t="shared" ref="E996" si="738">_xlfn.SWITCH(H989,1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996" s="3"/>
      <c r="G996" s="34" t="s">
        <v>6</v>
      </c>
      <c r="H996" s="40" t="str">
        <f t="shared" si="733"/>
        <v/>
      </c>
      <c r="I996" t="s">
        <v>465</v>
      </c>
    </row>
    <row r="997" spans="1:9" ht="18.600000000000001" thickBot="1" x14ac:dyDescent="0.5">
      <c r="A997" s="86"/>
      <c r="B997" s="8"/>
      <c r="C997" s="130" t="s">
        <v>10</v>
      </c>
      <c r="D997" s="131"/>
      <c r="E997" s="49">
        <f t="shared" ref="E997" si="739">IF(H995="",$Z$3,H989*H995)</f>
        <v>0</v>
      </c>
      <c r="F997" s="3"/>
      <c r="G997" s="28" t="s">
        <v>560</v>
      </c>
      <c r="H997" s="40" t="str">
        <f t="shared" si="733"/>
        <v/>
      </c>
      <c r="I997" t="s">
        <v>465</v>
      </c>
    </row>
    <row r="998" spans="1:9" ht="18.600000000000001" thickBot="1" x14ac:dyDescent="0.5">
      <c r="A998" s="86"/>
      <c r="B998" s="132" t="s">
        <v>11</v>
      </c>
      <c r="C998" s="126"/>
      <c r="D998" s="126"/>
      <c r="E998" s="19">
        <f t="shared" ref="E998" si="740">SUM(E994:E997)</f>
        <v>4864.0589166666723</v>
      </c>
      <c r="F998" s="3"/>
      <c r="G998" s="33" t="s">
        <v>561</v>
      </c>
      <c r="H998" s="41" t="str">
        <f t="shared" si="733"/>
        <v/>
      </c>
      <c r="I998" t="s">
        <v>465</v>
      </c>
    </row>
    <row r="999" spans="1:9" ht="18.600000000000001" thickBot="1" x14ac:dyDescent="0.5">
      <c r="A999" s="86"/>
      <c r="B999" s="7"/>
      <c r="C999" s="127" t="s">
        <v>12</v>
      </c>
      <c r="D999" s="128"/>
      <c r="E999" s="19">
        <f t="shared" ref="E999" si="741">_xlfn.SWITCH(H989,1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999" s="3"/>
      <c r="G999" s="30"/>
    </row>
    <row r="1000" spans="1:9" ht="18.600000000000001" thickBot="1" x14ac:dyDescent="0.5">
      <c r="A1000" s="86"/>
      <c r="B1000" s="8"/>
      <c r="C1000" s="127" t="s">
        <v>13</v>
      </c>
      <c r="D1000" s="128"/>
      <c r="E1000" s="19">
        <f>IF(H998="",H994*0.05,H998)</f>
        <v>125.37</v>
      </c>
      <c r="F1000" s="3"/>
      <c r="G1000" s="30"/>
    </row>
    <row r="1001" spans="1:9" ht="18.600000000000001" thickBot="1" x14ac:dyDescent="0.5">
      <c r="A1001" s="86"/>
      <c r="B1001" s="132" t="s">
        <v>14</v>
      </c>
      <c r="C1001" s="126"/>
      <c r="D1001" s="126"/>
      <c r="E1001" s="19">
        <f t="shared" ref="E1001" si="742">SUM(E999:E1000)</f>
        <v>125.37</v>
      </c>
      <c r="F1001" s="3"/>
      <c r="G1001" s="30"/>
    </row>
    <row r="1002" spans="1:9" ht="18.600000000000001" thickBot="1" x14ac:dyDescent="0.5">
      <c r="A1002" s="97" t="s">
        <v>15</v>
      </c>
      <c r="B1002" s="98"/>
      <c r="C1002" s="98"/>
      <c r="D1002" s="99"/>
      <c r="E1002" s="20">
        <f t="shared" ref="E1002" si="743">E993+E998+E1001</f>
        <v>5228.2289166666724</v>
      </c>
      <c r="F1002" s="3"/>
    </row>
    <row r="1003" spans="1:9" ht="18.600000000000001" thickBot="1" x14ac:dyDescent="0.5">
      <c r="A1003" s="6"/>
      <c r="B1003" s="126" t="s">
        <v>16</v>
      </c>
      <c r="C1003" s="126"/>
      <c r="D1003" s="126"/>
      <c r="E1003" s="19">
        <f t="shared" ref="E1003" si="744">H994</f>
        <v>2507.4</v>
      </c>
      <c r="F1003" s="3"/>
    </row>
    <row r="1004" spans="1:9" ht="18.600000000000001" thickBot="1" x14ac:dyDescent="0.5">
      <c r="A1004" s="97" t="s">
        <v>17</v>
      </c>
      <c r="B1004" s="98"/>
      <c r="C1004" s="98"/>
      <c r="D1004" s="99"/>
      <c r="E1004" s="20">
        <f t="shared" ref="E1004" si="745">E1003</f>
        <v>2507.4</v>
      </c>
      <c r="F1004" s="3"/>
    </row>
    <row r="1005" spans="1:9" ht="18.600000000000001" thickBot="1" x14ac:dyDescent="0.5">
      <c r="A1005" s="96" t="s">
        <v>18</v>
      </c>
      <c r="B1005" s="96"/>
      <c r="C1005" s="96"/>
      <c r="D1005" s="96"/>
      <c r="E1005" s="14">
        <f t="shared" ref="E1005" si="746">12*H989</f>
        <v>576</v>
      </c>
      <c r="F1005" s="3"/>
    </row>
    <row r="1006" spans="1:9" ht="18.600000000000001" thickBot="1" x14ac:dyDescent="0.5">
      <c r="A1006" s="3"/>
      <c r="B1006" s="3"/>
      <c r="C1006" s="3"/>
      <c r="D1006" s="3"/>
      <c r="E1006" s="3"/>
      <c r="F1006" s="3"/>
    </row>
    <row r="1007" spans="1:9" ht="18.600000000000001" thickBot="1" x14ac:dyDescent="0.5">
      <c r="A1007" s="12" t="s">
        <v>19</v>
      </c>
      <c r="B1007" s="12"/>
      <c r="C1007" s="12"/>
      <c r="D1007" s="12"/>
      <c r="E1007" s="15">
        <f t="shared" ref="E1007" si="747">-((E1004-E1002)/E1005)</f>
        <v>4.7236613136574173</v>
      </c>
      <c r="F1007" s="3" t="s">
        <v>20</v>
      </c>
    </row>
    <row r="1008" spans="1:9" x14ac:dyDescent="0.45">
      <c r="A1008" s="3"/>
      <c r="B1008" s="3"/>
      <c r="C1008" s="3"/>
      <c r="D1008" s="3"/>
      <c r="E1008" s="3"/>
      <c r="F1008" s="3"/>
    </row>
    <row r="1009" spans="1:9" ht="18.600000000000001" thickBot="1" x14ac:dyDescent="0.5">
      <c r="A1009" s="3"/>
      <c r="B1009" s="3"/>
      <c r="D1009" s="3"/>
      <c r="E1009" s="3"/>
      <c r="F1009" s="3"/>
    </row>
    <row r="1010" spans="1:9" ht="18.600000000000001" thickBot="1" x14ac:dyDescent="0.5">
      <c r="A1010" s="10" t="s">
        <v>4</v>
      </c>
      <c r="B1010" s="3"/>
      <c r="C1010" s="3"/>
      <c r="D1010" s="3"/>
      <c r="E1010" s="4" t="s">
        <v>1</v>
      </c>
      <c r="F1010" s="4"/>
      <c r="G1010" s="38" t="s">
        <v>508</v>
      </c>
      <c r="H1010" s="42">
        <f t="shared" ref="H1010" si="748">H989+1</f>
        <v>49</v>
      </c>
      <c r="I1010" t="s">
        <v>509</v>
      </c>
    </row>
    <row r="1011" spans="1:9" ht="18.600000000000001" thickBot="1" x14ac:dyDescent="0.5">
      <c r="A1011" s="133" t="s">
        <v>5</v>
      </c>
      <c r="B1011" s="133"/>
      <c r="C1011" s="133"/>
      <c r="D1011" s="133"/>
      <c r="E1011" s="11" t="s">
        <v>0</v>
      </c>
      <c r="F1011" s="3"/>
      <c r="G1011" s="36" t="s">
        <v>464</v>
      </c>
      <c r="H1011" s="37">
        <f t="shared" ref="H1011:H1019" si="749">H990</f>
        <v>3980</v>
      </c>
      <c r="I1011" t="s">
        <v>465</v>
      </c>
    </row>
    <row r="1012" spans="1:9" ht="18.600000000000001" thickBot="1" x14ac:dyDescent="0.5">
      <c r="A1012" s="85"/>
      <c r="B1012" s="87"/>
      <c r="C1012" s="127" t="s">
        <v>3</v>
      </c>
      <c r="D1012" s="128"/>
      <c r="E1012" s="29">
        <f t="shared" ref="E1012" si="750">IF(H1014="",0,H1014)</f>
        <v>0</v>
      </c>
      <c r="F1012" s="3"/>
      <c r="G1012" s="25" t="s">
        <v>466</v>
      </c>
      <c r="H1012" s="43">
        <f t="shared" si="749"/>
        <v>0.65</v>
      </c>
      <c r="I1012" t="s">
        <v>469</v>
      </c>
    </row>
    <row r="1013" spans="1:9" ht="18.600000000000001" thickBot="1" x14ac:dyDescent="0.5">
      <c r="A1013" s="86"/>
      <c r="B1013" s="88"/>
      <c r="C1013" s="127" t="s">
        <v>6</v>
      </c>
      <c r="D1013" s="128"/>
      <c r="E1013" s="19">
        <f>IF(H1017="",$H$7*0.06,H1017)</f>
        <v>238.79999999999998</v>
      </c>
      <c r="F1013" s="3"/>
      <c r="G1013" s="25" t="s">
        <v>467</v>
      </c>
      <c r="H1013" s="37">
        <f t="shared" si="749"/>
        <v>35</v>
      </c>
      <c r="I1013" t="s">
        <v>468</v>
      </c>
    </row>
    <row r="1014" spans="1:9" ht="18.600000000000001" thickBot="1" x14ac:dyDescent="0.5">
      <c r="A1014" s="86"/>
      <c r="B1014" s="91" t="s">
        <v>7</v>
      </c>
      <c r="C1014" s="92"/>
      <c r="D1014" s="92"/>
      <c r="E1014" s="19">
        <f t="shared" ref="E1014" si="751">SUM(E1012:E1013)</f>
        <v>238.79999999999998</v>
      </c>
      <c r="F1014" s="3"/>
      <c r="G1014" s="28" t="s">
        <v>3</v>
      </c>
      <c r="H1014" s="37">
        <f t="shared" si="749"/>
        <v>0</v>
      </c>
      <c r="I1014" t="s">
        <v>465</v>
      </c>
    </row>
    <row r="1015" spans="1:9" ht="18.600000000000001" thickBot="1" x14ac:dyDescent="0.5">
      <c r="A1015" s="86"/>
      <c r="B1015" s="7"/>
      <c r="C1015" s="5" t="s">
        <v>8</v>
      </c>
      <c r="D1015" s="5"/>
      <c r="E1015" s="49">
        <f t="shared" ref="E1015" si="752">_xlfn.SWITCH(H1010,1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1015" s="3"/>
      <c r="G1015" s="28" t="s">
        <v>16</v>
      </c>
      <c r="H1015" s="37">
        <f>真実の家賃!$I$8*AD51</f>
        <v>2507.4</v>
      </c>
      <c r="I1015" t="s">
        <v>465</v>
      </c>
    </row>
    <row r="1016" spans="1:9" ht="18.600000000000001" thickBot="1" x14ac:dyDescent="0.5">
      <c r="A1016" s="86"/>
      <c r="B1016" s="8"/>
      <c r="C1016" s="127" t="s">
        <v>2</v>
      </c>
      <c r="D1016" s="128"/>
      <c r="E1016" s="19">
        <f t="shared" ref="E1016" si="753">IF(H1018="",H1010*15,H1018)</f>
        <v>735</v>
      </c>
      <c r="F1016" s="3"/>
      <c r="G1016" s="56" t="s">
        <v>573</v>
      </c>
      <c r="H1016" s="40" t="str">
        <f t="shared" si="749"/>
        <v/>
      </c>
      <c r="I1016" t="s">
        <v>465</v>
      </c>
    </row>
    <row r="1017" spans="1:9" ht="18.600000000000001" thickBot="1" x14ac:dyDescent="0.5">
      <c r="A1017" s="86"/>
      <c r="B1017" s="8"/>
      <c r="C1017" s="129" t="s">
        <v>9</v>
      </c>
      <c r="D1017" s="129"/>
      <c r="E1017" s="19">
        <f t="shared" ref="E1017" si="754">_xlfn.SWITCH(H1010,1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1017" s="3"/>
      <c r="G1017" s="34" t="s">
        <v>6</v>
      </c>
      <c r="H1017" s="40" t="str">
        <f t="shared" si="749"/>
        <v/>
      </c>
      <c r="I1017" t="s">
        <v>465</v>
      </c>
    </row>
    <row r="1018" spans="1:9" ht="18.600000000000001" thickBot="1" x14ac:dyDescent="0.5">
      <c r="A1018" s="86"/>
      <c r="B1018" s="8"/>
      <c r="C1018" s="130" t="s">
        <v>10</v>
      </c>
      <c r="D1018" s="131"/>
      <c r="E1018" s="49">
        <f t="shared" ref="E1018" si="755">IF(H1016="",$Z$3,H1010*H1016)</f>
        <v>0</v>
      </c>
      <c r="F1018" s="3"/>
      <c r="G1018" s="28" t="s">
        <v>560</v>
      </c>
      <c r="H1018" s="40" t="str">
        <f t="shared" si="749"/>
        <v/>
      </c>
      <c r="I1018" t="s">
        <v>465</v>
      </c>
    </row>
    <row r="1019" spans="1:9" ht="18.600000000000001" thickBot="1" x14ac:dyDescent="0.5">
      <c r="A1019" s="86"/>
      <c r="B1019" s="132" t="s">
        <v>11</v>
      </c>
      <c r="C1019" s="126"/>
      <c r="D1019" s="126"/>
      <c r="E1019" s="19">
        <f t="shared" ref="E1019" si="756">SUM(E1015:E1018)</f>
        <v>4879.0589166666723</v>
      </c>
      <c r="F1019" s="3"/>
      <c r="G1019" s="33" t="s">
        <v>561</v>
      </c>
      <c r="H1019" s="41" t="str">
        <f t="shared" si="749"/>
        <v/>
      </c>
      <c r="I1019" t="s">
        <v>465</v>
      </c>
    </row>
    <row r="1020" spans="1:9" ht="18.600000000000001" thickBot="1" x14ac:dyDescent="0.5">
      <c r="A1020" s="86"/>
      <c r="B1020" s="7"/>
      <c r="C1020" s="127" t="s">
        <v>12</v>
      </c>
      <c r="D1020" s="128"/>
      <c r="E1020" s="19">
        <f t="shared" ref="E1020" si="757">_xlfn.SWITCH(H1010,1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1020" s="3"/>
      <c r="G1020" s="30"/>
    </row>
    <row r="1021" spans="1:9" ht="18.600000000000001" thickBot="1" x14ac:dyDescent="0.5">
      <c r="A1021" s="86"/>
      <c r="B1021" s="8"/>
      <c r="C1021" s="127" t="s">
        <v>13</v>
      </c>
      <c r="D1021" s="128"/>
      <c r="E1021" s="19">
        <f>IF(H1019="",H1015*0.05,H1019)</f>
        <v>125.37</v>
      </c>
      <c r="F1021" s="3"/>
      <c r="G1021" s="30"/>
    </row>
    <row r="1022" spans="1:9" ht="18.600000000000001" thickBot="1" x14ac:dyDescent="0.5">
      <c r="A1022" s="86"/>
      <c r="B1022" s="132" t="s">
        <v>14</v>
      </c>
      <c r="C1022" s="126"/>
      <c r="D1022" s="126"/>
      <c r="E1022" s="19">
        <f t="shared" ref="E1022" si="758">SUM(E1020:E1021)</f>
        <v>125.37</v>
      </c>
      <c r="F1022" s="3"/>
      <c r="G1022" s="30"/>
    </row>
    <row r="1023" spans="1:9" ht="18.600000000000001" thickBot="1" x14ac:dyDescent="0.5">
      <c r="A1023" s="97" t="s">
        <v>15</v>
      </c>
      <c r="B1023" s="98"/>
      <c r="C1023" s="98"/>
      <c r="D1023" s="99"/>
      <c r="E1023" s="20">
        <f t="shared" ref="E1023" si="759">E1014+E1019+E1022</f>
        <v>5243.2289166666724</v>
      </c>
      <c r="F1023" s="3"/>
    </row>
    <row r="1024" spans="1:9" ht="18.600000000000001" thickBot="1" x14ac:dyDescent="0.5">
      <c r="A1024" s="6"/>
      <c r="B1024" s="126" t="s">
        <v>16</v>
      </c>
      <c r="C1024" s="126"/>
      <c r="D1024" s="126"/>
      <c r="E1024" s="19">
        <f t="shared" ref="E1024" si="760">H1015</f>
        <v>2507.4</v>
      </c>
      <c r="F1024" s="3"/>
    </row>
    <row r="1025" spans="1:9" ht="18.600000000000001" thickBot="1" x14ac:dyDescent="0.5">
      <c r="A1025" s="97" t="s">
        <v>17</v>
      </c>
      <c r="B1025" s="98"/>
      <c r="C1025" s="98"/>
      <c r="D1025" s="99"/>
      <c r="E1025" s="20">
        <f t="shared" ref="E1025" si="761">E1024</f>
        <v>2507.4</v>
      </c>
      <c r="F1025" s="3"/>
    </row>
    <row r="1026" spans="1:9" ht="18.600000000000001" thickBot="1" x14ac:dyDescent="0.5">
      <c r="A1026" s="96" t="s">
        <v>18</v>
      </c>
      <c r="B1026" s="96"/>
      <c r="C1026" s="96"/>
      <c r="D1026" s="96"/>
      <c r="E1026" s="14">
        <f t="shared" ref="E1026" si="762">12*H1010</f>
        <v>588</v>
      </c>
      <c r="F1026" s="3"/>
    </row>
    <row r="1027" spans="1:9" ht="18.600000000000001" thickBot="1" x14ac:dyDescent="0.5">
      <c r="A1027" s="3"/>
      <c r="B1027" s="3"/>
      <c r="C1027" s="3"/>
      <c r="D1027" s="3"/>
      <c r="E1027" s="3"/>
      <c r="F1027" s="3"/>
    </row>
    <row r="1028" spans="1:9" ht="18.600000000000001" thickBot="1" x14ac:dyDescent="0.5">
      <c r="A1028" s="12" t="s">
        <v>19</v>
      </c>
      <c r="B1028" s="12"/>
      <c r="C1028" s="12"/>
      <c r="D1028" s="12"/>
      <c r="E1028" s="15">
        <f t="shared" ref="E1028" si="763">-((E1025-E1023)/E1026)</f>
        <v>4.6527702664399184</v>
      </c>
      <c r="F1028" s="3" t="s">
        <v>20</v>
      </c>
    </row>
    <row r="1029" spans="1:9" x14ac:dyDescent="0.45">
      <c r="A1029" s="3"/>
      <c r="B1029" s="3"/>
      <c r="C1029" s="3"/>
      <c r="D1029" s="3"/>
      <c r="E1029" s="3"/>
      <c r="F1029" s="3"/>
    </row>
    <row r="1030" spans="1:9" ht="18.600000000000001" thickBot="1" x14ac:dyDescent="0.5">
      <c r="A1030" s="3"/>
      <c r="B1030" s="3"/>
      <c r="D1030" s="3"/>
      <c r="E1030" s="3"/>
      <c r="F1030" s="3"/>
    </row>
    <row r="1031" spans="1:9" ht="18.600000000000001" thickBot="1" x14ac:dyDescent="0.5">
      <c r="A1031" s="10" t="s">
        <v>4</v>
      </c>
      <c r="B1031" s="3"/>
      <c r="C1031" s="3"/>
      <c r="D1031" s="3"/>
      <c r="E1031" s="4" t="s">
        <v>1</v>
      </c>
      <c r="F1031" s="4"/>
      <c r="G1031" s="38" t="s">
        <v>508</v>
      </c>
      <c r="H1031" s="42">
        <f t="shared" ref="H1031" si="764">H1010+1</f>
        <v>50</v>
      </c>
      <c r="I1031" t="s">
        <v>509</v>
      </c>
    </row>
    <row r="1032" spans="1:9" ht="18.600000000000001" thickBot="1" x14ac:dyDescent="0.5">
      <c r="A1032" s="133" t="s">
        <v>5</v>
      </c>
      <c r="B1032" s="133"/>
      <c r="C1032" s="133"/>
      <c r="D1032" s="133"/>
      <c r="E1032" s="11" t="s">
        <v>0</v>
      </c>
      <c r="F1032" s="3"/>
      <c r="G1032" s="36" t="s">
        <v>464</v>
      </c>
      <c r="H1032" s="37">
        <f t="shared" ref="H1032:H1037" si="765">H1011</f>
        <v>3980</v>
      </c>
      <c r="I1032" t="s">
        <v>465</v>
      </c>
    </row>
    <row r="1033" spans="1:9" ht="18.600000000000001" thickBot="1" x14ac:dyDescent="0.5">
      <c r="A1033" s="85"/>
      <c r="B1033" s="87"/>
      <c r="C1033" s="127" t="s">
        <v>3</v>
      </c>
      <c r="D1033" s="128"/>
      <c r="E1033" s="29">
        <f t="shared" ref="E1033" si="766">IF(H1035="",0,H1035)</f>
        <v>0</v>
      </c>
      <c r="F1033" s="3"/>
      <c r="G1033" s="25" t="s">
        <v>466</v>
      </c>
      <c r="H1033" s="43">
        <f t="shared" si="765"/>
        <v>0.65</v>
      </c>
      <c r="I1033" t="s">
        <v>469</v>
      </c>
    </row>
    <row r="1034" spans="1:9" ht="18.600000000000001" thickBot="1" x14ac:dyDescent="0.5">
      <c r="A1034" s="86"/>
      <c r="B1034" s="88"/>
      <c r="C1034" s="127" t="s">
        <v>6</v>
      </c>
      <c r="D1034" s="128"/>
      <c r="E1034" s="19">
        <f>IF(H1038="",$H$7*0.06,H1038)</f>
        <v>238.79999999999998</v>
      </c>
      <c r="F1034" s="3"/>
      <c r="G1034" s="25" t="s">
        <v>467</v>
      </c>
      <c r="H1034" s="37">
        <f t="shared" si="765"/>
        <v>35</v>
      </c>
      <c r="I1034" t="s">
        <v>468</v>
      </c>
    </row>
    <row r="1035" spans="1:9" ht="18.600000000000001" thickBot="1" x14ac:dyDescent="0.5">
      <c r="A1035" s="86"/>
      <c r="B1035" s="91" t="s">
        <v>7</v>
      </c>
      <c r="C1035" s="92"/>
      <c r="D1035" s="92"/>
      <c r="E1035" s="19">
        <f t="shared" ref="E1035" si="767">SUM(E1033:E1034)</f>
        <v>238.79999999999998</v>
      </c>
      <c r="F1035" s="3"/>
      <c r="G1035" s="28" t="s">
        <v>3</v>
      </c>
      <c r="H1035" s="37">
        <f t="shared" si="765"/>
        <v>0</v>
      </c>
      <c r="I1035" t="s">
        <v>465</v>
      </c>
    </row>
    <row r="1036" spans="1:9" ht="18.600000000000001" thickBot="1" x14ac:dyDescent="0.5">
      <c r="A1036" s="86"/>
      <c r="B1036" s="7"/>
      <c r="C1036" s="5" t="s">
        <v>8</v>
      </c>
      <c r="D1036" s="5"/>
      <c r="E1036" s="49">
        <f>_xlfn.SWITCH(H1031,1,$U$3/10000,2,$U$4/10000,3,$U$5/10000,4,$U$6/10000,5,$U$7/10000,6,$U$8/10000,7,$U$9/10000,8,$U$10/10000,9,$U$11/10000,10,$U$12/10000,11,$U$13/10000,12,$U$14/10000,13,$U$15/10000,14,$U$16/10000,15,$U$17/10000,16,$U$18/10000,17,$U$19/10000,18,$U$20/10000,19,$U$21/10000,20,$U$22/10000,21,$U$23/10000,22,$U$24/10000,23,$U$25/10000,24,$U$26/10000,25,$U$27/10000,26,$U$28/10000,27,$U$29/10000,28,$U$30/10000,29,$U$31/10000,30,$U$32/10000,31,$U$33/10000,32,$U$34/10000,33,$U$35/10000,34,$U$36/10000,35,$U$37/10000,36,$U$38/10000,37,$U$39/10000,38,$U$40/10000,39,$U$41/10000,40,$U$42/10000,41,$U$43/10000,42,$U$44/10000,43,$U$45/10000,44,$U$46/10000,45,$U$47/10000,46,$U$48/10000,47,$U$49/10000,48,$U$50/10000,49,$U$51/10000,50,$U$52/10000,"該当なし")</f>
        <v>4433.8029166666738</v>
      </c>
      <c r="F1036" s="3"/>
      <c r="G1036" s="28" t="s">
        <v>16</v>
      </c>
      <c r="H1036" s="37">
        <f>真実の家賃!$I$8*AD52</f>
        <v>2507.4</v>
      </c>
      <c r="I1036" t="s">
        <v>465</v>
      </c>
    </row>
    <row r="1037" spans="1:9" ht="18.600000000000001" thickBot="1" x14ac:dyDescent="0.5">
      <c r="A1037" s="86"/>
      <c r="B1037" s="8"/>
      <c r="C1037" s="127" t="s">
        <v>2</v>
      </c>
      <c r="D1037" s="128"/>
      <c r="E1037" s="19">
        <f>IF(H1039="",H1031*15,H1039)</f>
        <v>750</v>
      </c>
      <c r="F1037" s="3"/>
      <c r="G1037" s="56" t="s">
        <v>573</v>
      </c>
      <c r="H1037" s="40" t="str">
        <f t="shared" si="765"/>
        <v/>
      </c>
      <c r="I1037" t="s">
        <v>465</v>
      </c>
    </row>
    <row r="1038" spans="1:9" ht="18.600000000000001" thickBot="1" x14ac:dyDescent="0.5">
      <c r="A1038" s="86"/>
      <c r="B1038" s="8"/>
      <c r="C1038" s="129" t="s">
        <v>9</v>
      </c>
      <c r="D1038" s="129"/>
      <c r="E1038" s="19">
        <f t="shared" ref="E1038" si="768">_xlfn.SWITCH(H1031,1,-$T$3/10000,2,-$T$4/10000,3,-$T$5/10000,4,-$T$6/10000,5,-$T$7/10000,6,-$T$8/10000,7,-$T$9/10000,8,-$T$10/10000,9,-$T$11/10000,10,-$T$12/10000,11,-$T$13/10000,12,-$T$14/10000,13,-$T$15/10000,14,-$T$16/10000,15,-$T$17/10000,16,-$T$18/10000,17,-$T$19/10000,18,-$T$20/10000,19,-$T$21/10000,20,-$T$22/10000,21,-$T$23/10000,22,-$T$24/10000,23,-$T$25/10000,24,-$T$26/10000,25,-$T$27/10000,26,-$T$28/10000,27,-$T$29/10000,28,-$T$30/10000,29,-$T$31/10000,30,-$T$32/10000,31,-$T$33/10000,32,-$T$34/10000,33,-$T$35/10000,34,-$T$36/10000,35,-$T$37/10000,36,-$T$38/10000,37,-$T$39/10000,38,-$T$40/10000,39,-$T$41/10000,40,-$T$42/10000,41,-$T$43/10000,42,-$T$44/10000,43,-$T$45/10000,44,-$T$46/10000,45,-$T$47/10000,46,-$T$48/10000,47,-$T$49/10000,48,-$T$50/10000,49,-$T$51/10000,50,-$T$52/10000,"該当なし")</f>
        <v>-289.74400000000128</v>
      </c>
      <c r="F1038" s="3"/>
      <c r="G1038" s="34" t="s">
        <v>6</v>
      </c>
      <c r="H1038" s="40" t="str">
        <f t="shared" si="733"/>
        <v/>
      </c>
      <c r="I1038" t="s">
        <v>465</v>
      </c>
    </row>
    <row r="1039" spans="1:9" ht="18.600000000000001" thickBot="1" x14ac:dyDescent="0.5">
      <c r="A1039" s="86"/>
      <c r="B1039" s="8"/>
      <c r="C1039" s="130" t="s">
        <v>10</v>
      </c>
      <c r="D1039" s="131"/>
      <c r="E1039" s="49">
        <f>IF(H1037="",$Z$3,H1031*H1037)</f>
        <v>0</v>
      </c>
      <c r="F1039" s="3"/>
      <c r="G1039" s="28" t="s">
        <v>560</v>
      </c>
      <c r="H1039" s="40" t="str">
        <f t="shared" si="733"/>
        <v/>
      </c>
      <c r="I1039" t="s">
        <v>465</v>
      </c>
    </row>
    <row r="1040" spans="1:9" ht="18.600000000000001" thickBot="1" x14ac:dyDescent="0.5">
      <c r="A1040" s="86"/>
      <c r="B1040" s="132" t="s">
        <v>11</v>
      </c>
      <c r="C1040" s="126"/>
      <c r="D1040" s="126"/>
      <c r="E1040" s="19">
        <f>SUM(E1036:E1039)</f>
        <v>4894.0589166666723</v>
      </c>
      <c r="F1040" s="3"/>
      <c r="G1040" s="33" t="s">
        <v>561</v>
      </c>
      <c r="H1040" s="41" t="str">
        <f t="shared" si="733"/>
        <v/>
      </c>
      <c r="I1040" t="s">
        <v>465</v>
      </c>
    </row>
    <row r="1041" spans="1:7" ht="18.600000000000001" thickBot="1" x14ac:dyDescent="0.5">
      <c r="A1041" s="86"/>
      <c r="B1041" s="7"/>
      <c r="C1041" s="127" t="s">
        <v>12</v>
      </c>
      <c r="D1041" s="128"/>
      <c r="E1041" s="19">
        <f>_xlfn.SWITCH(H1031,1,$R$3/10000,2,$R$4/10000,3,$R$5/10000,4,$R$6/10000,5,$R$7/10000,6,$R$8/10000,7,$R$9/10000,8,$R$10/10000,9,$R$11/10000,10,$R$12/10000,11,$R$13/10000,12,$R$14/10000,13,$R$15/10000,14,$R$16/10000,15,$R$17/10000,16,$R$18/10000,17,$R$19/10000,18,$R$20/10000,19,$R$21/10000,20,$R$22/10000,21,$R$23/10000,22,$R$24/10000,23,$R$25/10000,24,$R$26/10000,25,$R$27/10000,26,$R$28/10000,27,$R$29/10000,28,$R$30/10000,29,$R$31/10000,30,$R$32/10000,31,$R$33/10000,32,$R$34/10000,33,$R$35/10000,34,$R$36/10000,35,$R$37/10000,36,$R$38/10000,37,$R$39/10000,38,$R$40/10000,39,$R$41/10000,40,$R$42/10000,41,$R$43/10000,42,$R$44/10000,43,$R$45/10000,44,$R$46/10000,45,$R$47/10000,46,$R$48/10000,47,$R$49/10000,48,$R$50/10000,49,$R$51/10000,50,$R$52/10000,"該当なし")</f>
        <v>0</v>
      </c>
      <c r="F1041" s="3"/>
      <c r="G1041" s="30"/>
    </row>
    <row r="1042" spans="1:7" ht="18.600000000000001" thickBot="1" x14ac:dyDescent="0.5">
      <c r="A1042" s="86"/>
      <c r="B1042" s="8"/>
      <c r="C1042" s="127" t="s">
        <v>13</v>
      </c>
      <c r="D1042" s="128"/>
      <c r="E1042" s="19">
        <f>IF(H1040="",H1036*0.05,H1040)</f>
        <v>125.37</v>
      </c>
      <c r="F1042" s="3"/>
      <c r="G1042" s="30"/>
    </row>
    <row r="1043" spans="1:7" ht="18.600000000000001" thickBot="1" x14ac:dyDescent="0.5">
      <c r="A1043" s="86"/>
      <c r="B1043" s="132" t="s">
        <v>14</v>
      </c>
      <c r="C1043" s="126"/>
      <c r="D1043" s="126"/>
      <c r="E1043" s="19">
        <f t="shared" ref="E1043" si="769">SUM(E1041:E1042)</f>
        <v>125.37</v>
      </c>
      <c r="F1043" s="3"/>
      <c r="G1043" s="30"/>
    </row>
    <row r="1044" spans="1:7" ht="18.600000000000001" thickBot="1" x14ac:dyDescent="0.5">
      <c r="A1044" s="97" t="s">
        <v>15</v>
      </c>
      <c r="B1044" s="98"/>
      <c r="C1044" s="98"/>
      <c r="D1044" s="99"/>
      <c r="E1044" s="20">
        <f t="shared" ref="E1044" si="770">E1035+E1040+E1043</f>
        <v>5258.2289166666724</v>
      </c>
      <c r="F1044" s="3"/>
    </row>
    <row r="1045" spans="1:7" ht="18.600000000000001" thickBot="1" x14ac:dyDescent="0.5">
      <c r="A1045" s="6"/>
      <c r="B1045" s="126" t="s">
        <v>16</v>
      </c>
      <c r="C1045" s="126"/>
      <c r="D1045" s="126"/>
      <c r="E1045" s="19">
        <f t="shared" ref="E1045" si="771">H1036</f>
        <v>2507.4</v>
      </c>
      <c r="F1045" s="3"/>
    </row>
    <row r="1046" spans="1:7" ht="18.600000000000001" thickBot="1" x14ac:dyDescent="0.5">
      <c r="A1046" s="97" t="s">
        <v>17</v>
      </c>
      <c r="B1046" s="98"/>
      <c r="C1046" s="98"/>
      <c r="D1046" s="99"/>
      <c r="E1046" s="20">
        <f t="shared" ref="E1046" si="772">E1045</f>
        <v>2507.4</v>
      </c>
      <c r="F1046" s="3"/>
    </row>
    <row r="1047" spans="1:7" ht="18.600000000000001" thickBot="1" x14ac:dyDescent="0.5">
      <c r="A1047" s="96" t="s">
        <v>18</v>
      </c>
      <c r="B1047" s="96"/>
      <c r="C1047" s="96"/>
      <c r="D1047" s="96"/>
      <c r="E1047" s="14">
        <f t="shared" ref="E1047" si="773">12*H1031</f>
        <v>600</v>
      </c>
      <c r="F1047" s="3"/>
    </row>
    <row r="1048" spans="1:7" ht="18.600000000000001" thickBot="1" x14ac:dyDescent="0.5">
      <c r="A1048" s="3"/>
      <c r="B1048" s="3"/>
      <c r="C1048" s="3"/>
      <c r="D1048" s="3"/>
      <c r="E1048" s="3"/>
      <c r="F1048" s="3"/>
    </row>
    <row r="1049" spans="1:7" ht="18.600000000000001" thickBot="1" x14ac:dyDescent="0.5">
      <c r="A1049" s="12" t="s">
        <v>19</v>
      </c>
      <c r="B1049" s="12"/>
      <c r="C1049" s="12"/>
      <c r="D1049" s="12"/>
      <c r="E1049" s="15">
        <f t="shared" ref="E1049" si="774">-((E1046-E1044)/E1047)</f>
        <v>4.5847148611111201</v>
      </c>
      <c r="F1049" s="3" t="s">
        <v>20</v>
      </c>
    </row>
    <row r="1050" spans="1:7" x14ac:dyDescent="0.45">
      <c r="A1050" s="3"/>
      <c r="B1050" s="3"/>
      <c r="C1050" s="3"/>
      <c r="D1050" s="3"/>
      <c r="E1050" s="3"/>
      <c r="F1050" s="3"/>
    </row>
    <row r="1051" spans="1:7" x14ac:dyDescent="0.45">
      <c r="A1051" s="3"/>
      <c r="B1051" s="3"/>
      <c r="D1051" s="3"/>
      <c r="E1051" s="3"/>
      <c r="F1051" s="3"/>
    </row>
  </sheetData>
  <mergeCells count="851">
    <mergeCell ref="AF1:AH1"/>
    <mergeCell ref="A1046:D1046"/>
    <mergeCell ref="A1047:D1047"/>
    <mergeCell ref="C47:D47"/>
    <mergeCell ref="C51:D51"/>
    <mergeCell ref="B1040:D1040"/>
    <mergeCell ref="C1041:D1041"/>
    <mergeCell ref="C1042:D1042"/>
    <mergeCell ref="B1043:D1043"/>
    <mergeCell ref="A1044:D1044"/>
    <mergeCell ref="B1045:D1045"/>
    <mergeCell ref="A1026:D1026"/>
    <mergeCell ref="A1032:D1032"/>
    <mergeCell ref="A1033:A1043"/>
    <mergeCell ref="B1033:B1034"/>
    <mergeCell ref="C1033:D1033"/>
    <mergeCell ref="C1034:D1034"/>
    <mergeCell ref="B1035:D1035"/>
    <mergeCell ref="C1037:D1037"/>
    <mergeCell ref="C1038:D1038"/>
    <mergeCell ref="C1039:D1039"/>
    <mergeCell ref="C1020:D1020"/>
    <mergeCell ref="C1021:D1021"/>
    <mergeCell ref="B1022:D1022"/>
    <mergeCell ref="A1023:D1023"/>
    <mergeCell ref="B1024:D1024"/>
    <mergeCell ref="A1025:D1025"/>
    <mergeCell ref="A1011:D1011"/>
    <mergeCell ref="A1012:A1022"/>
    <mergeCell ref="B1012:B1013"/>
    <mergeCell ref="C1012:D1012"/>
    <mergeCell ref="C1013:D1013"/>
    <mergeCell ref="B1014:D1014"/>
    <mergeCell ref="C1016:D1016"/>
    <mergeCell ref="C1017:D1017"/>
    <mergeCell ref="C1018:D1018"/>
    <mergeCell ref="B1019:D1019"/>
    <mergeCell ref="C1000:D1000"/>
    <mergeCell ref="B1001:D1001"/>
    <mergeCell ref="A1002:D1002"/>
    <mergeCell ref="B1003:D1003"/>
    <mergeCell ref="A1004:D1004"/>
    <mergeCell ref="A1005:D1005"/>
    <mergeCell ref="A991:A1001"/>
    <mergeCell ref="B991:B992"/>
    <mergeCell ref="C991:D991"/>
    <mergeCell ref="C992:D992"/>
    <mergeCell ref="B993:D993"/>
    <mergeCell ref="C995:D995"/>
    <mergeCell ref="C996:D996"/>
    <mergeCell ref="C997:D997"/>
    <mergeCell ref="B998:D998"/>
    <mergeCell ref="C999:D999"/>
    <mergeCell ref="A981:D981"/>
    <mergeCell ref="B982:D982"/>
    <mergeCell ref="A983:D983"/>
    <mergeCell ref="A984:D984"/>
    <mergeCell ref="A990:D990"/>
    <mergeCell ref="C974:D974"/>
    <mergeCell ref="C975:D975"/>
    <mergeCell ref="C976:D976"/>
    <mergeCell ref="B977:D977"/>
    <mergeCell ref="C978:D978"/>
    <mergeCell ref="C979:D979"/>
    <mergeCell ref="A960:D960"/>
    <mergeCell ref="B961:D961"/>
    <mergeCell ref="A962:D962"/>
    <mergeCell ref="A963:D963"/>
    <mergeCell ref="A969:D969"/>
    <mergeCell ref="A970:A980"/>
    <mergeCell ref="B970:B971"/>
    <mergeCell ref="C970:D970"/>
    <mergeCell ref="C971:D971"/>
    <mergeCell ref="B972:D972"/>
    <mergeCell ref="B980:D980"/>
    <mergeCell ref="C954:D954"/>
    <mergeCell ref="C955:D955"/>
    <mergeCell ref="B956:D956"/>
    <mergeCell ref="C957:D957"/>
    <mergeCell ref="C958:D958"/>
    <mergeCell ref="B959:D959"/>
    <mergeCell ref="B940:D940"/>
    <mergeCell ref="A941:D941"/>
    <mergeCell ref="A942:D942"/>
    <mergeCell ref="A948:D948"/>
    <mergeCell ref="A949:A959"/>
    <mergeCell ref="B949:B950"/>
    <mergeCell ref="C949:D949"/>
    <mergeCell ref="C950:D950"/>
    <mergeCell ref="B951:D951"/>
    <mergeCell ref="C953:D953"/>
    <mergeCell ref="C934:D934"/>
    <mergeCell ref="B935:D935"/>
    <mergeCell ref="C936:D936"/>
    <mergeCell ref="C937:D937"/>
    <mergeCell ref="B938:D938"/>
    <mergeCell ref="A939:D939"/>
    <mergeCell ref="A920:D920"/>
    <mergeCell ref="A921:D921"/>
    <mergeCell ref="A927:D927"/>
    <mergeCell ref="A928:A938"/>
    <mergeCell ref="B928:B929"/>
    <mergeCell ref="C928:D928"/>
    <mergeCell ref="C929:D929"/>
    <mergeCell ref="B930:D930"/>
    <mergeCell ref="C932:D932"/>
    <mergeCell ref="C933:D933"/>
    <mergeCell ref="B914:D914"/>
    <mergeCell ref="C915:D915"/>
    <mergeCell ref="C916:D916"/>
    <mergeCell ref="B917:D917"/>
    <mergeCell ref="A918:D918"/>
    <mergeCell ref="B919:D919"/>
    <mergeCell ref="A900:D900"/>
    <mergeCell ref="A906:D906"/>
    <mergeCell ref="A907:A917"/>
    <mergeCell ref="B907:B908"/>
    <mergeCell ref="C907:D907"/>
    <mergeCell ref="C908:D908"/>
    <mergeCell ref="B909:D909"/>
    <mergeCell ref="C911:D911"/>
    <mergeCell ref="C912:D912"/>
    <mergeCell ref="C913:D913"/>
    <mergeCell ref="C894:D894"/>
    <mergeCell ref="C895:D895"/>
    <mergeCell ref="B896:D896"/>
    <mergeCell ref="A897:D897"/>
    <mergeCell ref="B898:D898"/>
    <mergeCell ref="A899:D899"/>
    <mergeCell ref="A885:D885"/>
    <mergeCell ref="A886:A896"/>
    <mergeCell ref="B886:B887"/>
    <mergeCell ref="C886:D886"/>
    <mergeCell ref="C887:D887"/>
    <mergeCell ref="B888:D888"/>
    <mergeCell ref="C890:D890"/>
    <mergeCell ref="C891:D891"/>
    <mergeCell ref="C892:D892"/>
    <mergeCell ref="B893:D893"/>
    <mergeCell ref="C874:D874"/>
    <mergeCell ref="B875:D875"/>
    <mergeCell ref="A876:D876"/>
    <mergeCell ref="B877:D877"/>
    <mergeCell ref="A878:D878"/>
    <mergeCell ref="A879:D879"/>
    <mergeCell ref="A865:A875"/>
    <mergeCell ref="B865:B866"/>
    <mergeCell ref="C865:D865"/>
    <mergeCell ref="C866:D866"/>
    <mergeCell ref="B867:D867"/>
    <mergeCell ref="C869:D869"/>
    <mergeCell ref="C870:D870"/>
    <mergeCell ref="C871:D871"/>
    <mergeCell ref="B872:D872"/>
    <mergeCell ref="C873:D873"/>
    <mergeCell ref="A855:D855"/>
    <mergeCell ref="B856:D856"/>
    <mergeCell ref="A857:D857"/>
    <mergeCell ref="A858:D858"/>
    <mergeCell ref="A864:D864"/>
    <mergeCell ref="C848:D848"/>
    <mergeCell ref="C849:D849"/>
    <mergeCell ref="C850:D850"/>
    <mergeCell ref="B851:D851"/>
    <mergeCell ref="C852:D852"/>
    <mergeCell ref="C853:D853"/>
    <mergeCell ref="A834:D834"/>
    <mergeCell ref="B835:D835"/>
    <mergeCell ref="A836:D836"/>
    <mergeCell ref="A837:D837"/>
    <mergeCell ref="A843:D843"/>
    <mergeCell ref="A844:A854"/>
    <mergeCell ref="B844:B845"/>
    <mergeCell ref="C844:D844"/>
    <mergeCell ref="C845:D845"/>
    <mergeCell ref="B846:D846"/>
    <mergeCell ref="B854:D854"/>
    <mergeCell ref="C828:D828"/>
    <mergeCell ref="C829:D829"/>
    <mergeCell ref="B830:D830"/>
    <mergeCell ref="C831:D831"/>
    <mergeCell ref="C832:D832"/>
    <mergeCell ref="B833:D833"/>
    <mergeCell ref="B814:D814"/>
    <mergeCell ref="A815:D815"/>
    <mergeCell ref="A816:D816"/>
    <mergeCell ref="A822:D822"/>
    <mergeCell ref="A823:A833"/>
    <mergeCell ref="B823:B824"/>
    <mergeCell ref="C823:D823"/>
    <mergeCell ref="C824:D824"/>
    <mergeCell ref="B825:D825"/>
    <mergeCell ref="C827:D827"/>
    <mergeCell ref="C808:D808"/>
    <mergeCell ref="B809:D809"/>
    <mergeCell ref="C810:D810"/>
    <mergeCell ref="C811:D811"/>
    <mergeCell ref="B812:D812"/>
    <mergeCell ref="A813:D813"/>
    <mergeCell ref="A794:D794"/>
    <mergeCell ref="A795:D795"/>
    <mergeCell ref="A801:D801"/>
    <mergeCell ref="A802:A812"/>
    <mergeCell ref="B802:B803"/>
    <mergeCell ref="C802:D802"/>
    <mergeCell ref="C803:D803"/>
    <mergeCell ref="B804:D804"/>
    <mergeCell ref="C806:D806"/>
    <mergeCell ref="C807:D807"/>
    <mergeCell ref="B788:D788"/>
    <mergeCell ref="C789:D789"/>
    <mergeCell ref="C790:D790"/>
    <mergeCell ref="B791:D791"/>
    <mergeCell ref="A792:D792"/>
    <mergeCell ref="B793:D793"/>
    <mergeCell ref="A774:D774"/>
    <mergeCell ref="A780:D780"/>
    <mergeCell ref="A781:A791"/>
    <mergeCell ref="B781:B782"/>
    <mergeCell ref="C781:D781"/>
    <mergeCell ref="C782:D782"/>
    <mergeCell ref="B783:D783"/>
    <mergeCell ref="C785:D785"/>
    <mergeCell ref="C786:D786"/>
    <mergeCell ref="C787:D787"/>
    <mergeCell ref="C768:D768"/>
    <mergeCell ref="C769:D769"/>
    <mergeCell ref="B770:D770"/>
    <mergeCell ref="A771:D771"/>
    <mergeCell ref="B772:D772"/>
    <mergeCell ref="A773:D773"/>
    <mergeCell ref="A759:D759"/>
    <mergeCell ref="A760:A770"/>
    <mergeCell ref="B760:B761"/>
    <mergeCell ref="C760:D760"/>
    <mergeCell ref="C761:D761"/>
    <mergeCell ref="B762:D762"/>
    <mergeCell ref="C764:D764"/>
    <mergeCell ref="C765:D765"/>
    <mergeCell ref="C766:D766"/>
    <mergeCell ref="B767:D767"/>
    <mergeCell ref="C748:D748"/>
    <mergeCell ref="B749:D749"/>
    <mergeCell ref="A750:D750"/>
    <mergeCell ref="B751:D751"/>
    <mergeCell ref="A752:D752"/>
    <mergeCell ref="A753:D753"/>
    <mergeCell ref="A739:A749"/>
    <mergeCell ref="B739:B740"/>
    <mergeCell ref="C739:D739"/>
    <mergeCell ref="C740:D740"/>
    <mergeCell ref="B741:D741"/>
    <mergeCell ref="C743:D743"/>
    <mergeCell ref="C744:D744"/>
    <mergeCell ref="C745:D745"/>
    <mergeCell ref="B746:D746"/>
    <mergeCell ref="C747:D747"/>
    <mergeCell ref="A729:D729"/>
    <mergeCell ref="B730:D730"/>
    <mergeCell ref="A731:D731"/>
    <mergeCell ref="A732:D732"/>
    <mergeCell ref="A738:D738"/>
    <mergeCell ref="C722:D722"/>
    <mergeCell ref="C723:D723"/>
    <mergeCell ref="C724:D724"/>
    <mergeCell ref="B725:D725"/>
    <mergeCell ref="C726:D726"/>
    <mergeCell ref="C727:D727"/>
    <mergeCell ref="A708:D708"/>
    <mergeCell ref="B709:D709"/>
    <mergeCell ref="A710:D710"/>
    <mergeCell ref="A711:D711"/>
    <mergeCell ref="A717:D717"/>
    <mergeCell ref="A718:A728"/>
    <mergeCell ref="B718:B719"/>
    <mergeCell ref="C718:D718"/>
    <mergeCell ref="C719:D719"/>
    <mergeCell ref="B720:D720"/>
    <mergeCell ref="B728:D728"/>
    <mergeCell ref="C702:D702"/>
    <mergeCell ref="C703:D703"/>
    <mergeCell ref="B704:D704"/>
    <mergeCell ref="C705:D705"/>
    <mergeCell ref="C706:D706"/>
    <mergeCell ref="B707:D707"/>
    <mergeCell ref="B688:D688"/>
    <mergeCell ref="A689:D689"/>
    <mergeCell ref="A690:D690"/>
    <mergeCell ref="A696:D696"/>
    <mergeCell ref="A697:A707"/>
    <mergeCell ref="B697:B698"/>
    <mergeCell ref="C697:D697"/>
    <mergeCell ref="C698:D698"/>
    <mergeCell ref="B699:D699"/>
    <mergeCell ref="C701:D701"/>
    <mergeCell ref="C682:D682"/>
    <mergeCell ref="B683:D683"/>
    <mergeCell ref="C684:D684"/>
    <mergeCell ref="C685:D685"/>
    <mergeCell ref="B686:D686"/>
    <mergeCell ref="A687:D687"/>
    <mergeCell ref="A668:D668"/>
    <mergeCell ref="A669:D669"/>
    <mergeCell ref="A675:D675"/>
    <mergeCell ref="A676:A686"/>
    <mergeCell ref="B676:B677"/>
    <mergeCell ref="C676:D676"/>
    <mergeCell ref="C677:D677"/>
    <mergeCell ref="B678:D678"/>
    <mergeCell ref="C680:D680"/>
    <mergeCell ref="C681:D681"/>
    <mergeCell ref="B662:D662"/>
    <mergeCell ref="C663:D663"/>
    <mergeCell ref="C664:D664"/>
    <mergeCell ref="B665:D665"/>
    <mergeCell ref="A666:D666"/>
    <mergeCell ref="B667:D667"/>
    <mergeCell ref="A648:D648"/>
    <mergeCell ref="A654:D654"/>
    <mergeCell ref="A655:A665"/>
    <mergeCell ref="B655:B656"/>
    <mergeCell ref="C655:D655"/>
    <mergeCell ref="C656:D656"/>
    <mergeCell ref="B657:D657"/>
    <mergeCell ref="C659:D659"/>
    <mergeCell ref="C660:D660"/>
    <mergeCell ref="C661:D661"/>
    <mergeCell ref="C642:D642"/>
    <mergeCell ref="C643:D643"/>
    <mergeCell ref="B644:D644"/>
    <mergeCell ref="A645:D645"/>
    <mergeCell ref="B646:D646"/>
    <mergeCell ref="A647:D647"/>
    <mergeCell ref="A633:D633"/>
    <mergeCell ref="A634:A644"/>
    <mergeCell ref="B634:B635"/>
    <mergeCell ref="C634:D634"/>
    <mergeCell ref="C635:D635"/>
    <mergeCell ref="B636:D636"/>
    <mergeCell ref="C638:D638"/>
    <mergeCell ref="C639:D639"/>
    <mergeCell ref="C640:D640"/>
    <mergeCell ref="B641:D641"/>
    <mergeCell ref="C622:D622"/>
    <mergeCell ref="B623:D623"/>
    <mergeCell ref="A624:D624"/>
    <mergeCell ref="B625:D625"/>
    <mergeCell ref="A626:D626"/>
    <mergeCell ref="A627:D627"/>
    <mergeCell ref="A613:A623"/>
    <mergeCell ref="B613:B614"/>
    <mergeCell ref="C613:D613"/>
    <mergeCell ref="C614:D614"/>
    <mergeCell ref="B615:D615"/>
    <mergeCell ref="C617:D617"/>
    <mergeCell ref="C618:D618"/>
    <mergeCell ref="C619:D619"/>
    <mergeCell ref="B620:D620"/>
    <mergeCell ref="C621:D621"/>
    <mergeCell ref="A603:D603"/>
    <mergeCell ref="B604:D604"/>
    <mergeCell ref="A605:D605"/>
    <mergeCell ref="A606:D606"/>
    <mergeCell ref="A612:D612"/>
    <mergeCell ref="C596:D596"/>
    <mergeCell ref="C597:D597"/>
    <mergeCell ref="C598:D598"/>
    <mergeCell ref="B599:D599"/>
    <mergeCell ref="C600:D600"/>
    <mergeCell ref="C601:D601"/>
    <mergeCell ref="A582:D582"/>
    <mergeCell ref="B583:D583"/>
    <mergeCell ref="A584:D584"/>
    <mergeCell ref="A585:D585"/>
    <mergeCell ref="A591:D591"/>
    <mergeCell ref="A592:A602"/>
    <mergeCell ref="B592:B593"/>
    <mergeCell ref="C592:D592"/>
    <mergeCell ref="C593:D593"/>
    <mergeCell ref="B594:D594"/>
    <mergeCell ref="B602:D602"/>
    <mergeCell ref="C576:D576"/>
    <mergeCell ref="C577:D577"/>
    <mergeCell ref="B578:D578"/>
    <mergeCell ref="C579:D579"/>
    <mergeCell ref="C580:D580"/>
    <mergeCell ref="B581:D581"/>
    <mergeCell ref="B562:D562"/>
    <mergeCell ref="A563:D563"/>
    <mergeCell ref="A564:D564"/>
    <mergeCell ref="A570:D570"/>
    <mergeCell ref="A571:A581"/>
    <mergeCell ref="B571:B572"/>
    <mergeCell ref="C571:D571"/>
    <mergeCell ref="C572:D572"/>
    <mergeCell ref="B573:D573"/>
    <mergeCell ref="C575:D575"/>
    <mergeCell ref="C556:D556"/>
    <mergeCell ref="B557:D557"/>
    <mergeCell ref="C558:D558"/>
    <mergeCell ref="C559:D559"/>
    <mergeCell ref="B560:D560"/>
    <mergeCell ref="A561:D561"/>
    <mergeCell ref="A542:D542"/>
    <mergeCell ref="A543:D543"/>
    <mergeCell ref="A549:D549"/>
    <mergeCell ref="A550:A560"/>
    <mergeCell ref="B550:B551"/>
    <mergeCell ref="C550:D550"/>
    <mergeCell ref="C551:D551"/>
    <mergeCell ref="B552:D552"/>
    <mergeCell ref="C554:D554"/>
    <mergeCell ref="C555:D555"/>
    <mergeCell ref="B536:D536"/>
    <mergeCell ref="C537:D537"/>
    <mergeCell ref="C538:D538"/>
    <mergeCell ref="B539:D539"/>
    <mergeCell ref="A540:D540"/>
    <mergeCell ref="B541:D541"/>
    <mergeCell ref="A522:D522"/>
    <mergeCell ref="A528:D528"/>
    <mergeCell ref="A529:A539"/>
    <mergeCell ref="B529:B530"/>
    <mergeCell ref="C529:D529"/>
    <mergeCell ref="C530:D530"/>
    <mergeCell ref="B531:D531"/>
    <mergeCell ref="C533:D533"/>
    <mergeCell ref="C534:D534"/>
    <mergeCell ref="C535:D535"/>
    <mergeCell ref="C516:D516"/>
    <mergeCell ref="C517:D517"/>
    <mergeCell ref="B518:D518"/>
    <mergeCell ref="A519:D519"/>
    <mergeCell ref="B520:D520"/>
    <mergeCell ref="A521:D521"/>
    <mergeCell ref="A507:D507"/>
    <mergeCell ref="A508:A518"/>
    <mergeCell ref="B508:B509"/>
    <mergeCell ref="C508:D508"/>
    <mergeCell ref="C509:D509"/>
    <mergeCell ref="B510:D510"/>
    <mergeCell ref="C512:D512"/>
    <mergeCell ref="C513:D513"/>
    <mergeCell ref="C514:D514"/>
    <mergeCell ref="B515:D515"/>
    <mergeCell ref="C496:D496"/>
    <mergeCell ref="B497:D497"/>
    <mergeCell ref="A498:D498"/>
    <mergeCell ref="B499:D499"/>
    <mergeCell ref="A500:D500"/>
    <mergeCell ref="A501:D501"/>
    <mergeCell ref="A487:A497"/>
    <mergeCell ref="B487:B488"/>
    <mergeCell ref="C487:D487"/>
    <mergeCell ref="C488:D488"/>
    <mergeCell ref="B489:D489"/>
    <mergeCell ref="C491:D491"/>
    <mergeCell ref="C492:D492"/>
    <mergeCell ref="C493:D493"/>
    <mergeCell ref="B494:D494"/>
    <mergeCell ref="C495:D495"/>
    <mergeCell ref="A477:D477"/>
    <mergeCell ref="B478:D478"/>
    <mergeCell ref="A479:D479"/>
    <mergeCell ref="A480:D480"/>
    <mergeCell ref="A486:D486"/>
    <mergeCell ref="C470:D470"/>
    <mergeCell ref="C471:D471"/>
    <mergeCell ref="C472:D472"/>
    <mergeCell ref="B473:D473"/>
    <mergeCell ref="C474:D474"/>
    <mergeCell ref="C475:D475"/>
    <mergeCell ref="A456:D456"/>
    <mergeCell ref="B457:D457"/>
    <mergeCell ref="A458:D458"/>
    <mergeCell ref="A459:D459"/>
    <mergeCell ref="A465:D465"/>
    <mergeCell ref="A466:A476"/>
    <mergeCell ref="B466:B467"/>
    <mergeCell ref="C466:D466"/>
    <mergeCell ref="C467:D467"/>
    <mergeCell ref="B468:D468"/>
    <mergeCell ref="B476:D476"/>
    <mergeCell ref="C450:D450"/>
    <mergeCell ref="C451:D451"/>
    <mergeCell ref="B452:D452"/>
    <mergeCell ref="C453:D453"/>
    <mergeCell ref="C454:D454"/>
    <mergeCell ref="B455:D455"/>
    <mergeCell ref="B436:D436"/>
    <mergeCell ref="A437:D437"/>
    <mergeCell ref="A438:D438"/>
    <mergeCell ref="A444:D444"/>
    <mergeCell ref="A445:A455"/>
    <mergeCell ref="B445:B446"/>
    <mergeCell ref="C445:D445"/>
    <mergeCell ref="C446:D446"/>
    <mergeCell ref="B447:D447"/>
    <mergeCell ref="C449:D449"/>
    <mergeCell ref="C430:D430"/>
    <mergeCell ref="B431:D431"/>
    <mergeCell ref="C432:D432"/>
    <mergeCell ref="C433:D433"/>
    <mergeCell ref="B434:D434"/>
    <mergeCell ref="A435:D435"/>
    <mergeCell ref="A416:D416"/>
    <mergeCell ref="A417:D417"/>
    <mergeCell ref="A423:D423"/>
    <mergeCell ref="A424:A434"/>
    <mergeCell ref="B424:B425"/>
    <mergeCell ref="C424:D424"/>
    <mergeCell ref="C425:D425"/>
    <mergeCell ref="B426:D426"/>
    <mergeCell ref="C428:D428"/>
    <mergeCell ref="C429:D429"/>
    <mergeCell ref="B410:D410"/>
    <mergeCell ref="C411:D411"/>
    <mergeCell ref="C412:D412"/>
    <mergeCell ref="B413:D413"/>
    <mergeCell ref="A414:D414"/>
    <mergeCell ref="B415:D415"/>
    <mergeCell ref="A396:D396"/>
    <mergeCell ref="A402:D402"/>
    <mergeCell ref="A403:A413"/>
    <mergeCell ref="B403:B404"/>
    <mergeCell ref="C403:D403"/>
    <mergeCell ref="C404:D404"/>
    <mergeCell ref="B405:D405"/>
    <mergeCell ref="C407:D407"/>
    <mergeCell ref="C408:D408"/>
    <mergeCell ref="C409:D409"/>
    <mergeCell ref="C390:D390"/>
    <mergeCell ref="C391:D391"/>
    <mergeCell ref="B392:D392"/>
    <mergeCell ref="A393:D393"/>
    <mergeCell ref="B394:D394"/>
    <mergeCell ref="A395:D395"/>
    <mergeCell ref="A381:D381"/>
    <mergeCell ref="A382:A392"/>
    <mergeCell ref="B382:B383"/>
    <mergeCell ref="C382:D382"/>
    <mergeCell ref="C383:D383"/>
    <mergeCell ref="B384:D384"/>
    <mergeCell ref="C386:D386"/>
    <mergeCell ref="C387:D387"/>
    <mergeCell ref="C388:D388"/>
    <mergeCell ref="B389:D389"/>
    <mergeCell ref="C370:D370"/>
    <mergeCell ref="B371:D371"/>
    <mergeCell ref="A372:D372"/>
    <mergeCell ref="B373:D373"/>
    <mergeCell ref="A374:D374"/>
    <mergeCell ref="A375:D375"/>
    <mergeCell ref="A361:A371"/>
    <mergeCell ref="B361:B362"/>
    <mergeCell ref="C361:D361"/>
    <mergeCell ref="C362:D362"/>
    <mergeCell ref="B363:D363"/>
    <mergeCell ref="C365:D365"/>
    <mergeCell ref="C366:D366"/>
    <mergeCell ref="C367:D367"/>
    <mergeCell ref="B368:D368"/>
    <mergeCell ref="C369:D369"/>
    <mergeCell ref="A351:D351"/>
    <mergeCell ref="B352:D352"/>
    <mergeCell ref="A353:D353"/>
    <mergeCell ref="A354:D354"/>
    <mergeCell ref="A360:D360"/>
    <mergeCell ref="C344:D344"/>
    <mergeCell ref="C345:D345"/>
    <mergeCell ref="C346:D346"/>
    <mergeCell ref="B347:D347"/>
    <mergeCell ref="C348:D348"/>
    <mergeCell ref="C349:D349"/>
    <mergeCell ref="A330:D330"/>
    <mergeCell ref="B331:D331"/>
    <mergeCell ref="A332:D332"/>
    <mergeCell ref="A333:D333"/>
    <mergeCell ref="A339:D339"/>
    <mergeCell ref="A340:A350"/>
    <mergeCell ref="B340:B341"/>
    <mergeCell ref="C340:D340"/>
    <mergeCell ref="C341:D341"/>
    <mergeCell ref="B342:D342"/>
    <mergeCell ref="B350:D350"/>
    <mergeCell ref="C324:D324"/>
    <mergeCell ref="C325:D325"/>
    <mergeCell ref="B326:D326"/>
    <mergeCell ref="C327:D327"/>
    <mergeCell ref="C328:D328"/>
    <mergeCell ref="B329:D329"/>
    <mergeCell ref="B310:D310"/>
    <mergeCell ref="A311:D311"/>
    <mergeCell ref="A312:D312"/>
    <mergeCell ref="A318:D318"/>
    <mergeCell ref="A319:A329"/>
    <mergeCell ref="B319:B320"/>
    <mergeCell ref="C319:D319"/>
    <mergeCell ref="C320:D320"/>
    <mergeCell ref="B321:D321"/>
    <mergeCell ref="C323:D323"/>
    <mergeCell ref="C304:D304"/>
    <mergeCell ref="B305:D305"/>
    <mergeCell ref="C306:D306"/>
    <mergeCell ref="C307:D307"/>
    <mergeCell ref="B308:D308"/>
    <mergeCell ref="A309:D309"/>
    <mergeCell ref="A290:D290"/>
    <mergeCell ref="A291:D291"/>
    <mergeCell ref="A297:D297"/>
    <mergeCell ref="A298:A308"/>
    <mergeCell ref="B298:B299"/>
    <mergeCell ref="C298:D298"/>
    <mergeCell ref="C299:D299"/>
    <mergeCell ref="B300:D300"/>
    <mergeCell ref="C302:D302"/>
    <mergeCell ref="C303:D303"/>
    <mergeCell ref="B284:D284"/>
    <mergeCell ref="C285:D285"/>
    <mergeCell ref="C286:D286"/>
    <mergeCell ref="B287:D287"/>
    <mergeCell ref="A288:D288"/>
    <mergeCell ref="B289:D289"/>
    <mergeCell ref="A270:D270"/>
    <mergeCell ref="A276:D276"/>
    <mergeCell ref="A277:A287"/>
    <mergeCell ref="B277:B278"/>
    <mergeCell ref="C277:D277"/>
    <mergeCell ref="C278:D278"/>
    <mergeCell ref="B279:D279"/>
    <mergeCell ref="C281:D281"/>
    <mergeCell ref="C282:D282"/>
    <mergeCell ref="C283:D283"/>
    <mergeCell ref="C264:D264"/>
    <mergeCell ref="C265:D265"/>
    <mergeCell ref="B266:D266"/>
    <mergeCell ref="A267:D267"/>
    <mergeCell ref="B268:D268"/>
    <mergeCell ref="A269:D269"/>
    <mergeCell ref="A255:D255"/>
    <mergeCell ref="A256:A266"/>
    <mergeCell ref="B256:B257"/>
    <mergeCell ref="C256:D256"/>
    <mergeCell ref="C257:D257"/>
    <mergeCell ref="B258:D258"/>
    <mergeCell ref="C260:D260"/>
    <mergeCell ref="C261:D261"/>
    <mergeCell ref="C262:D262"/>
    <mergeCell ref="B263:D263"/>
    <mergeCell ref="C244:D244"/>
    <mergeCell ref="B245:D245"/>
    <mergeCell ref="A246:D246"/>
    <mergeCell ref="B247:D247"/>
    <mergeCell ref="A248:D248"/>
    <mergeCell ref="A249:D249"/>
    <mergeCell ref="A235:A245"/>
    <mergeCell ref="B235:B236"/>
    <mergeCell ref="C235:D235"/>
    <mergeCell ref="C236:D236"/>
    <mergeCell ref="B237:D237"/>
    <mergeCell ref="C239:D239"/>
    <mergeCell ref="C240:D240"/>
    <mergeCell ref="C241:D241"/>
    <mergeCell ref="B242:D242"/>
    <mergeCell ref="C243:D243"/>
    <mergeCell ref="A225:D225"/>
    <mergeCell ref="B226:D226"/>
    <mergeCell ref="A227:D227"/>
    <mergeCell ref="A228:D228"/>
    <mergeCell ref="A234:D234"/>
    <mergeCell ref="C218:D218"/>
    <mergeCell ref="C219:D219"/>
    <mergeCell ref="C220:D220"/>
    <mergeCell ref="B221:D221"/>
    <mergeCell ref="C222:D222"/>
    <mergeCell ref="C223:D223"/>
    <mergeCell ref="A204:D204"/>
    <mergeCell ref="B205:D205"/>
    <mergeCell ref="A206:D206"/>
    <mergeCell ref="A207:D207"/>
    <mergeCell ref="A213:D213"/>
    <mergeCell ref="A214:A224"/>
    <mergeCell ref="B214:B215"/>
    <mergeCell ref="C214:D214"/>
    <mergeCell ref="C215:D215"/>
    <mergeCell ref="B216:D216"/>
    <mergeCell ref="B224:D224"/>
    <mergeCell ref="C198:D198"/>
    <mergeCell ref="C199:D199"/>
    <mergeCell ref="B200:D200"/>
    <mergeCell ref="C201:D201"/>
    <mergeCell ref="C202:D202"/>
    <mergeCell ref="B203:D203"/>
    <mergeCell ref="B184:D184"/>
    <mergeCell ref="A185:D185"/>
    <mergeCell ref="A186:D186"/>
    <mergeCell ref="A192:D192"/>
    <mergeCell ref="A193:A203"/>
    <mergeCell ref="B193:B194"/>
    <mergeCell ref="C193:D193"/>
    <mergeCell ref="C194:D194"/>
    <mergeCell ref="B195:D195"/>
    <mergeCell ref="C197:D197"/>
    <mergeCell ref="C178:D178"/>
    <mergeCell ref="B179:D179"/>
    <mergeCell ref="C180:D180"/>
    <mergeCell ref="C181:D181"/>
    <mergeCell ref="B182:D182"/>
    <mergeCell ref="A183:D183"/>
    <mergeCell ref="A164:D164"/>
    <mergeCell ref="A165:D165"/>
    <mergeCell ref="A171:D171"/>
    <mergeCell ref="A172:A182"/>
    <mergeCell ref="B172:B173"/>
    <mergeCell ref="C172:D172"/>
    <mergeCell ref="C173:D173"/>
    <mergeCell ref="B174:D174"/>
    <mergeCell ref="C176:D176"/>
    <mergeCell ref="C177:D177"/>
    <mergeCell ref="B158:D158"/>
    <mergeCell ref="C159:D159"/>
    <mergeCell ref="C160:D160"/>
    <mergeCell ref="B161:D161"/>
    <mergeCell ref="A162:D162"/>
    <mergeCell ref="B163:D163"/>
    <mergeCell ref="A144:D144"/>
    <mergeCell ref="A150:D150"/>
    <mergeCell ref="A151:A161"/>
    <mergeCell ref="B151:B152"/>
    <mergeCell ref="C151:D151"/>
    <mergeCell ref="C152:D152"/>
    <mergeCell ref="B153:D153"/>
    <mergeCell ref="C155:D155"/>
    <mergeCell ref="C156:D156"/>
    <mergeCell ref="C157:D157"/>
    <mergeCell ref="C138:D138"/>
    <mergeCell ref="C139:D139"/>
    <mergeCell ref="B140:D140"/>
    <mergeCell ref="A141:D141"/>
    <mergeCell ref="B142:D142"/>
    <mergeCell ref="A143:D143"/>
    <mergeCell ref="A129:D129"/>
    <mergeCell ref="A130:A140"/>
    <mergeCell ref="B130:B131"/>
    <mergeCell ref="C130:D130"/>
    <mergeCell ref="C131:D131"/>
    <mergeCell ref="B132:D132"/>
    <mergeCell ref="C134:D134"/>
    <mergeCell ref="C135:D135"/>
    <mergeCell ref="C136:D136"/>
    <mergeCell ref="B137:D137"/>
    <mergeCell ref="C118:D118"/>
    <mergeCell ref="B119:D119"/>
    <mergeCell ref="A120:D120"/>
    <mergeCell ref="B121:D121"/>
    <mergeCell ref="A122:D122"/>
    <mergeCell ref="A123:D123"/>
    <mergeCell ref="A109:A119"/>
    <mergeCell ref="B109:B110"/>
    <mergeCell ref="C109:D109"/>
    <mergeCell ref="C110:D110"/>
    <mergeCell ref="B111:D111"/>
    <mergeCell ref="C113:D113"/>
    <mergeCell ref="C114:D114"/>
    <mergeCell ref="C115:D115"/>
    <mergeCell ref="B116:D116"/>
    <mergeCell ref="C117:D117"/>
    <mergeCell ref="A99:D99"/>
    <mergeCell ref="B100:D100"/>
    <mergeCell ref="A101:D101"/>
    <mergeCell ref="A102:D102"/>
    <mergeCell ref="A108:D108"/>
    <mergeCell ref="C92:D92"/>
    <mergeCell ref="C93:D93"/>
    <mergeCell ref="C94:D94"/>
    <mergeCell ref="B95:D95"/>
    <mergeCell ref="C96:D96"/>
    <mergeCell ref="C97:D97"/>
    <mergeCell ref="A78:D78"/>
    <mergeCell ref="B79:D79"/>
    <mergeCell ref="A80:D80"/>
    <mergeCell ref="A81:D81"/>
    <mergeCell ref="A87:D87"/>
    <mergeCell ref="A88:A98"/>
    <mergeCell ref="B88:B89"/>
    <mergeCell ref="C88:D88"/>
    <mergeCell ref="C89:D89"/>
    <mergeCell ref="B90:D90"/>
    <mergeCell ref="B98:D98"/>
    <mergeCell ref="C72:D72"/>
    <mergeCell ref="C73:D73"/>
    <mergeCell ref="B74:D74"/>
    <mergeCell ref="C75:D75"/>
    <mergeCell ref="C76:D76"/>
    <mergeCell ref="B77:D77"/>
    <mergeCell ref="B58:D58"/>
    <mergeCell ref="A59:D59"/>
    <mergeCell ref="A60:D60"/>
    <mergeCell ref="A66:D66"/>
    <mergeCell ref="A67:A77"/>
    <mergeCell ref="B67:B68"/>
    <mergeCell ref="C67:D67"/>
    <mergeCell ref="C68:D68"/>
    <mergeCell ref="B69:D69"/>
    <mergeCell ref="C71:D71"/>
    <mergeCell ref="C52:D52"/>
    <mergeCell ref="B53:D53"/>
    <mergeCell ref="C54:D54"/>
    <mergeCell ref="C55:D55"/>
    <mergeCell ref="B56:D56"/>
    <mergeCell ref="A57:D57"/>
    <mergeCell ref="A38:D38"/>
    <mergeCell ref="A39:D39"/>
    <mergeCell ref="B32:D32"/>
    <mergeCell ref="C33:D33"/>
    <mergeCell ref="C34:D34"/>
    <mergeCell ref="B35:D35"/>
    <mergeCell ref="A36:D36"/>
    <mergeCell ref="B37:D37"/>
    <mergeCell ref="A45:D45"/>
    <mergeCell ref="C50:D50"/>
    <mergeCell ref="B48:D48"/>
    <mergeCell ref="C46:D46"/>
    <mergeCell ref="B46:B47"/>
    <mergeCell ref="A46:A56"/>
    <mergeCell ref="A18:D18"/>
    <mergeCell ref="A24:D24"/>
    <mergeCell ref="A25:A35"/>
    <mergeCell ref="B25:B26"/>
    <mergeCell ref="C25:D25"/>
    <mergeCell ref="C26:D26"/>
    <mergeCell ref="B27:D27"/>
    <mergeCell ref="C29:D29"/>
    <mergeCell ref="C30:D30"/>
    <mergeCell ref="C31:D31"/>
    <mergeCell ref="C12:D12"/>
    <mergeCell ref="C13:D13"/>
    <mergeCell ref="B14:D14"/>
    <mergeCell ref="A15:D15"/>
    <mergeCell ref="B16:D16"/>
    <mergeCell ref="A17:D17"/>
    <mergeCell ref="A3:D3"/>
    <mergeCell ref="A4:A14"/>
    <mergeCell ref="B4:B5"/>
    <mergeCell ref="C4:D4"/>
    <mergeCell ref="C5:D5"/>
    <mergeCell ref="B6:D6"/>
    <mergeCell ref="C8:D8"/>
    <mergeCell ref="C9:D9"/>
    <mergeCell ref="C10:D10"/>
    <mergeCell ref="B11:D1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FA5CB-021F-4DE8-B7E5-51B66605E2FB}">
  <dimension ref="A1:W1051"/>
  <sheetViews>
    <sheetView workbookViewId="0"/>
  </sheetViews>
  <sheetFormatPr defaultRowHeight="18" x14ac:dyDescent="0.45"/>
  <cols>
    <col min="10" max="10" width="5.5" customWidth="1"/>
    <col min="11" max="11" width="18.69921875" customWidth="1"/>
    <col min="12" max="12" width="12.59765625" customWidth="1"/>
    <col min="13" max="13" width="16.5" customWidth="1"/>
    <col min="14" max="14" width="6.5" customWidth="1"/>
    <col min="15" max="15" width="8.3984375" customWidth="1"/>
    <col min="16" max="16" width="13.5" customWidth="1"/>
    <col min="17" max="17" width="13.69921875" customWidth="1"/>
    <col min="18" max="18" width="12.59765625" customWidth="1"/>
    <col min="19" max="19" width="11.8984375" customWidth="1"/>
  </cols>
  <sheetData>
    <row r="1" spans="1:23" x14ac:dyDescent="0.45">
      <c r="P1" s="1" t="s">
        <v>630</v>
      </c>
      <c r="Q1" s="1" t="s">
        <v>631</v>
      </c>
      <c r="S1" s="134" t="s">
        <v>589</v>
      </c>
      <c r="T1" s="134"/>
      <c r="U1" s="1"/>
      <c r="V1" s="134" t="s">
        <v>596</v>
      </c>
      <c r="W1" s="134"/>
    </row>
    <row r="2" spans="1:23" ht="18.600000000000001" thickBot="1" x14ac:dyDescent="0.5">
      <c r="A2" s="10" t="s">
        <v>588</v>
      </c>
      <c r="B2" s="61"/>
      <c r="C2" s="61"/>
      <c r="D2" s="61"/>
      <c r="E2" s="61"/>
      <c r="F2" s="61"/>
      <c r="G2" s="61"/>
      <c r="H2" s="100" t="s">
        <v>1</v>
      </c>
      <c r="I2" s="100"/>
      <c r="J2" s="3"/>
      <c r="K2" s="3"/>
      <c r="L2" s="3"/>
      <c r="M2" s="3"/>
      <c r="O2" s="2" t="s">
        <v>632</v>
      </c>
      <c r="P2" s="13">
        <f>E17</f>
        <v>4446.2181132999995</v>
      </c>
      <c r="Q2" s="13">
        <f>I12</f>
        <v>195</v>
      </c>
      <c r="S2" s="2" t="s">
        <v>593</v>
      </c>
      <c r="T2">
        <f>真実の家賃!I3</f>
        <v>10</v>
      </c>
      <c r="V2" s="2" t="s">
        <v>583</v>
      </c>
      <c r="W2">
        <f>損益分岐点!$M$2</f>
        <v>10</v>
      </c>
    </row>
    <row r="3" spans="1:23" x14ac:dyDescent="0.45">
      <c r="A3" s="117" t="s">
        <v>576</v>
      </c>
      <c r="B3" s="118"/>
      <c r="C3" s="118"/>
      <c r="D3" s="118"/>
      <c r="E3" s="119"/>
      <c r="F3" s="120" t="s">
        <v>577</v>
      </c>
      <c r="G3" s="121"/>
      <c r="H3" s="121"/>
      <c r="I3" s="122"/>
      <c r="J3" s="3"/>
      <c r="K3" s="44" t="s">
        <v>590</v>
      </c>
      <c r="L3" s="39">
        <f>損益分岐点!$M$2</f>
        <v>10</v>
      </c>
      <c r="M3" s="3" t="s">
        <v>465</v>
      </c>
      <c r="O3" s="2" t="s">
        <v>633</v>
      </c>
      <c r="P3" s="13">
        <f>E38</f>
        <v>4454.3830100333334</v>
      </c>
      <c r="Q3" s="13">
        <f>I33</f>
        <v>325</v>
      </c>
      <c r="S3" s="63">
        <v>1</v>
      </c>
      <c r="T3" s="62">
        <v>1</v>
      </c>
      <c r="U3" s="62"/>
      <c r="V3" s="2" t="s">
        <v>597</v>
      </c>
      <c r="W3">
        <f>$W$2*1</f>
        <v>10</v>
      </c>
    </row>
    <row r="4" spans="1:23" x14ac:dyDescent="0.45">
      <c r="A4" s="123" t="s">
        <v>578</v>
      </c>
      <c r="B4" s="124"/>
      <c r="C4" s="124"/>
      <c r="D4" s="124"/>
      <c r="E4" s="65" t="s">
        <v>0</v>
      </c>
      <c r="F4" s="125" t="s">
        <v>578</v>
      </c>
      <c r="G4" s="124"/>
      <c r="H4" s="124"/>
      <c r="I4" s="65" t="s">
        <v>0</v>
      </c>
      <c r="J4" s="3"/>
      <c r="K4" s="58" t="s">
        <v>589</v>
      </c>
      <c r="L4" s="74">
        <f>$T$3</f>
        <v>1</v>
      </c>
      <c r="M4" s="3" t="s">
        <v>594</v>
      </c>
      <c r="O4" s="2" t="s">
        <v>634</v>
      </c>
      <c r="P4" s="13">
        <f>E59</f>
        <v>4462.6020216666666</v>
      </c>
      <c r="Q4" s="13">
        <f>I54</f>
        <v>445</v>
      </c>
      <c r="S4" s="63">
        <v>16</v>
      </c>
      <c r="T4" s="62">
        <v>2</v>
      </c>
      <c r="U4" s="62"/>
      <c r="V4" s="2" t="s">
        <v>598</v>
      </c>
      <c r="W4">
        <f>$W$2*2</f>
        <v>20</v>
      </c>
    </row>
    <row r="5" spans="1:23" ht="18.600000000000001" thickBot="1" x14ac:dyDescent="0.5">
      <c r="A5" s="116" t="s">
        <v>3</v>
      </c>
      <c r="B5" s="115"/>
      <c r="C5" s="115"/>
      <c r="D5" s="115"/>
      <c r="E5" s="67">
        <f>IF(真実の家賃!$L$1=TRUE,計算用1!E4,計算用2!E4)</f>
        <v>0</v>
      </c>
      <c r="F5" s="114" t="s">
        <v>7</v>
      </c>
      <c r="G5" s="115"/>
      <c r="H5" s="115"/>
      <c r="I5" s="70">
        <f>L3*5*L4</f>
        <v>50</v>
      </c>
      <c r="J5" s="3"/>
      <c r="K5" s="73" t="s">
        <v>628</v>
      </c>
      <c r="L5" s="72">
        <v>1</v>
      </c>
      <c r="M5" s="3" t="s">
        <v>468</v>
      </c>
      <c r="O5" s="2" t="s">
        <v>635</v>
      </c>
      <c r="P5" s="13">
        <f>E80</f>
        <v>4470.8750466000001</v>
      </c>
      <c r="Q5" s="13">
        <f>I75</f>
        <v>575</v>
      </c>
      <c r="S5" s="63">
        <v>31</v>
      </c>
      <c r="T5" s="62">
        <v>3</v>
      </c>
      <c r="U5" s="62"/>
      <c r="V5" s="2" t="s">
        <v>599</v>
      </c>
      <c r="W5">
        <f>$W$2*3</f>
        <v>30</v>
      </c>
    </row>
    <row r="6" spans="1:23" x14ac:dyDescent="0.45">
      <c r="A6" s="116" t="s">
        <v>6</v>
      </c>
      <c r="B6" s="115"/>
      <c r="C6" s="115"/>
      <c r="D6" s="115"/>
      <c r="E6" s="67">
        <f>IF(真実の家賃!$L$1=TRUE,計算用1!E5,計算用2!E5)</f>
        <v>238.79999999999998</v>
      </c>
      <c r="F6" s="111" t="s">
        <v>579</v>
      </c>
      <c r="G6" s="112"/>
      <c r="H6" s="112"/>
      <c r="I6" s="71">
        <f>I5</f>
        <v>50</v>
      </c>
      <c r="J6" s="3"/>
      <c r="K6" s="3"/>
      <c r="L6" s="3"/>
      <c r="M6" s="3"/>
      <c r="O6" s="2" t="s">
        <v>636</v>
      </c>
      <c r="P6" s="13">
        <f>E101</f>
        <v>4479.2027119333334</v>
      </c>
      <c r="Q6" s="13">
        <f>I96</f>
        <v>695</v>
      </c>
      <c r="S6" s="63">
        <v>46</v>
      </c>
      <c r="T6" s="62">
        <v>4</v>
      </c>
      <c r="U6" s="62"/>
      <c r="V6" s="2" t="s">
        <v>600</v>
      </c>
      <c r="W6">
        <f>$W$2*3</f>
        <v>30</v>
      </c>
    </row>
    <row r="7" spans="1:23" x14ac:dyDescent="0.45">
      <c r="A7" s="113" t="s">
        <v>579</v>
      </c>
      <c r="B7" s="112"/>
      <c r="C7" s="112"/>
      <c r="D7" s="112"/>
      <c r="E7" s="68">
        <f>SUM(E5:E6)</f>
        <v>238.79999999999998</v>
      </c>
      <c r="F7" s="114" t="s">
        <v>583</v>
      </c>
      <c r="G7" s="115"/>
      <c r="H7" s="115"/>
      <c r="I7" s="70">
        <f>L5*12*L3</f>
        <v>120</v>
      </c>
      <c r="J7" s="3"/>
      <c r="K7" s="3"/>
      <c r="L7" s="3"/>
      <c r="M7" s="3"/>
      <c r="O7" s="2" t="s">
        <v>637</v>
      </c>
      <c r="P7" s="13">
        <f>E122</f>
        <v>4487.5851769666669</v>
      </c>
      <c r="Q7" s="13">
        <f>I117</f>
        <v>815</v>
      </c>
      <c r="S7" s="64" t="s">
        <v>589</v>
      </c>
      <c r="T7" s="62">
        <f>_xlfn.IFS(T2&gt;=46,T6,T2&gt;=31,T5,T2&gt;=16,T4,T2&lt;=15,T3)</f>
        <v>1</v>
      </c>
      <c r="U7" s="62"/>
      <c r="V7" s="2" t="s">
        <v>601</v>
      </c>
      <c r="W7">
        <f>$W$2*4</f>
        <v>40</v>
      </c>
    </row>
    <row r="8" spans="1:23" x14ac:dyDescent="0.45">
      <c r="A8" s="116" t="s">
        <v>580</v>
      </c>
      <c r="B8" s="115"/>
      <c r="C8" s="115"/>
      <c r="D8" s="115"/>
      <c r="E8" s="67">
        <f>IF(真実の家賃!$L$1=TRUE,計算用1!E7,計算用2!E7)</f>
        <v>127.1688</v>
      </c>
      <c r="F8" s="114" t="s">
        <v>596</v>
      </c>
      <c r="G8" s="115"/>
      <c r="H8" s="115"/>
      <c r="I8" s="70">
        <f>_xlfn.SWITCH(L5,1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10</v>
      </c>
      <c r="J8" s="3"/>
      <c r="K8" s="3"/>
      <c r="L8" s="3"/>
      <c r="M8" s="3"/>
      <c r="O8" s="2" t="s">
        <v>638</v>
      </c>
      <c r="P8" s="13">
        <f>E143</f>
        <v>4496.0228318000009</v>
      </c>
      <c r="Q8" s="13">
        <f>I138</f>
        <v>935</v>
      </c>
      <c r="S8" s="2" t="s">
        <v>585</v>
      </c>
      <c r="T8" s="75">
        <v>15</v>
      </c>
      <c r="V8" s="2" t="s">
        <v>603</v>
      </c>
      <c r="W8">
        <f>$W$2*5</f>
        <v>50</v>
      </c>
    </row>
    <row r="9" spans="1:23" x14ac:dyDescent="0.45">
      <c r="A9" s="105" t="s">
        <v>581</v>
      </c>
      <c r="B9" s="106"/>
      <c r="C9" s="106"/>
      <c r="D9" s="106"/>
      <c r="E9" s="67">
        <f>IF(真実の家賃!$L$1=TRUE,計算用1!E8,計算用2!E8)</f>
        <v>15</v>
      </c>
      <c r="F9" s="111" t="s">
        <v>582</v>
      </c>
      <c r="G9" s="112"/>
      <c r="H9" s="112"/>
      <c r="I9" s="71">
        <f>SUM(I7:I8)</f>
        <v>130</v>
      </c>
      <c r="J9" s="3"/>
      <c r="K9" s="3"/>
      <c r="L9" s="3"/>
      <c r="M9" s="3"/>
      <c r="O9" s="2" t="s">
        <v>639</v>
      </c>
      <c r="P9" s="13">
        <f>E164</f>
        <v>4504.5162959333338</v>
      </c>
      <c r="Q9" s="13">
        <f>I159</f>
        <v>1065</v>
      </c>
      <c r="V9" s="2" t="s">
        <v>602</v>
      </c>
      <c r="W9">
        <f>$W$2*6</f>
        <v>60</v>
      </c>
    </row>
    <row r="10" spans="1:23" x14ac:dyDescent="0.45">
      <c r="A10" s="116" t="s">
        <v>9</v>
      </c>
      <c r="B10" s="115"/>
      <c r="C10" s="115"/>
      <c r="D10" s="115"/>
      <c r="E10" s="67">
        <f>IF(真実の家賃!$L$1=TRUE,計算用1!E9,計算用2!E9)</f>
        <v>-27.148786700000002</v>
      </c>
      <c r="F10" s="110" t="s">
        <v>585</v>
      </c>
      <c r="G10" s="106"/>
      <c r="H10" s="106"/>
      <c r="I10" s="70">
        <f>15*L4</f>
        <v>15</v>
      </c>
      <c r="J10" s="3"/>
      <c r="K10" s="3"/>
      <c r="L10" s="3"/>
      <c r="M10" s="3"/>
      <c r="O10" s="2" t="s">
        <v>640</v>
      </c>
      <c r="P10" s="13">
        <f>E185</f>
        <v>4513.0654238666666</v>
      </c>
      <c r="Q10" s="13">
        <f>I180</f>
        <v>1185</v>
      </c>
      <c r="V10" s="2" t="s">
        <v>604</v>
      </c>
      <c r="W10">
        <f>$W$2*7</f>
        <v>70</v>
      </c>
    </row>
    <row r="11" spans="1:23" x14ac:dyDescent="0.45">
      <c r="A11" s="105" t="s">
        <v>10</v>
      </c>
      <c r="B11" s="106"/>
      <c r="C11" s="106"/>
      <c r="D11" s="106"/>
      <c r="E11" s="67">
        <f>IF(真実の家賃!$L$1=TRUE,計算用1!E10,計算用2!E10)</f>
        <v>0</v>
      </c>
      <c r="F11" s="109" t="s">
        <v>586</v>
      </c>
      <c r="G11" s="108"/>
      <c r="H11" s="108"/>
      <c r="I11" s="71">
        <f>I10</f>
        <v>15</v>
      </c>
      <c r="J11" s="3"/>
      <c r="K11" s="3"/>
      <c r="L11" s="3"/>
      <c r="M11" s="3"/>
      <c r="O11" s="2" t="s">
        <v>641</v>
      </c>
      <c r="P11" s="13">
        <f>E206</f>
        <v>4521.6710981000006</v>
      </c>
      <c r="Q11" s="13">
        <f>I201</f>
        <v>1315</v>
      </c>
      <c r="V11" s="2" t="s">
        <v>605</v>
      </c>
      <c r="W11">
        <f>$W$2*8</f>
        <v>80</v>
      </c>
    </row>
    <row r="12" spans="1:23" ht="18.600000000000001" thickBot="1" x14ac:dyDescent="0.5">
      <c r="A12" s="113" t="s">
        <v>582</v>
      </c>
      <c r="B12" s="112"/>
      <c r="C12" s="112"/>
      <c r="D12" s="112"/>
      <c r="E12" s="68">
        <f>E8+E9+E10+E11</f>
        <v>115.0200133</v>
      </c>
      <c r="F12" s="103" t="s">
        <v>587</v>
      </c>
      <c r="G12" s="104"/>
      <c r="H12" s="104"/>
      <c r="I12" s="66">
        <f>I6+I9+I11</f>
        <v>195</v>
      </c>
      <c r="J12" s="3"/>
      <c r="K12" s="3"/>
      <c r="L12" s="3"/>
      <c r="M12" s="3"/>
      <c r="O12" s="2" t="s">
        <v>642</v>
      </c>
      <c r="P12" s="13">
        <f>E227</f>
        <v>4532.7655576555553</v>
      </c>
      <c r="Q12" s="13">
        <f>I222</f>
        <v>1435</v>
      </c>
      <c r="V12" s="2" t="s">
        <v>606</v>
      </c>
      <c r="W12">
        <f>$W$2*9</f>
        <v>90</v>
      </c>
    </row>
    <row r="13" spans="1:23" x14ac:dyDescent="0.45">
      <c r="A13" s="105" t="s">
        <v>12</v>
      </c>
      <c r="B13" s="106"/>
      <c r="C13" s="106"/>
      <c r="D13" s="106"/>
      <c r="E13" s="67">
        <f>IF(真実の家賃!$L$1=TRUE,計算用1!E12,計算用2!E12)</f>
        <v>3878.3980999999999</v>
      </c>
      <c r="F13" s="3"/>
      <c r="G13" s="3"/>
      <c r="H13" s="3"/>
      <c r="I13" s="3"/>
      <c r="J13" s="3"/>
      <c r="K13" s="3"/>
      <c r="L13" s="3"/>
      <c r="M13" s="3"/>
      <c r="O13" s="2" t="s">
        <v>643</v>
      </c>
      <c r="P13" s="13">
        <f>E248</f>
        <v>4543.9170286111112</v>
      </c>
      <c r="Q13" s="13">
        <f>I243</f>
        <v>1565</v>
      </c>
      <c r="V13" s="2" t="s">
        <v>607</v>
      </c>
      <c r="W13">
        <f>$W$2*10</f>
        <v>100</v>
      </c>
    </row>
    <row r="14" spans="1:23" x14ac:dyDescent="0.45">
      <c r="A14" s="105" t="s">
        <v>584</v>
      </c>
      <c r="B14" s="106"/>
      <c r="C14" s="106"/>
      <c r="D14" s="106"/>
      <c r="E14" s="67">
        <f>IF(真実の家賃!$L$1=TRUE,計算用1!E13,計算用2!E13)</f>
        <v>199</v>
      </c>
      <c r="F14" s="3"/>
      <c r="G14" s="3"/>
      <c r="H14" s="3"/>
      <c r="I14" s="3"/>
      <c r="J14" s="3"/>
      <c r="K14" s="3"/>
      <c r="L14" s="3"/>
      <c r="M14" s="3"/>
      <c r="O14" s="2" t="s">
        <v>644</v>
      </c>
      <c r="P14" s="13">
        <f>E269</f>
        <v>4555.1258914666669</v>
      </c>
      <c r="Q14" s="13">
        <f>I264</f>
        <v>1685</v>
      </c>
      <c r="V14" s="2" t="s">
        <v>608</v>
      </c>
      <c r="W14">
        <f>$W$2*11</f>
        <v>110</v>
      </c>
    </row>
    <row r="15" spans="1:23" x14ac:dyDescent="0.45">
      <c r="A15" s="105" t="s">
        <v>585</v>
      </c>
      <c r="B15" s="106"/>
      <c r="C15" s="106"/>
      <c r="D15" s="106"/>
      <c r="E15" s="67">
        <f>$T$8</f>
        <v>15</v>
      </c>
      <c r="F15" s="3"/>
      <c r="G15" s="3"/>
      <c r="H15" s="3"/>
      <c r="I15" s="3"/>
      <c r="J15" s="3"/>
      <c r="K15" s="3"/>
      <c r="L15" s="3"/>
      <c r="M15" s="3"/>
      <c r="O15" s="2" t="s">
        <v>645</v>
      </c>
      <c r="P15" s="13">
        <f>E290</f>
        <v>4583.8626470222225</v>
      </c>
      <c r="Q15" s="13">
        <f>I285</f>
        <v>1815</v>
      </c>
      <c r="V15" s="2" t="s">
        <v>609</v>
      </c>
      <c r="W15">
        <f>$W$2*12</f>
        <v>120</v>
      </c>
    </row>
    <row r="16" spans="1:23" x14ac:dyDescent="0.45">
      <c r="A16" s="107" t="s">
        <v>586</v>
      </c>
      <c r="B16" s="108"/>
      <c r="C16" s="108"/>
      <c r="D16" s="108"/>
      <c r="E16" s="68">
        <f>SUM(E13:E15)</f>
        <v>4092.3980999999999</v>
      </c>
      <c r="F16" s="3"/>
      <c r="G16" s="3"/>
      <c r="H16" s="3"/>
      <c r="I16" s="3"/>
      <c r="J16" s="3"/>
      <c r="K16" s="3"/>
      <c r="L16" s="3"/>
      <c r="M16" s="3"/>
      <c r="O16" s="2" t="s">
        <v>646</v>
      </c>
      <c r="P16" s="13">
        <f>E311</f>
        <v>4611.8785025777779</v>
      </c>
      <c r="Q16" s="13">
        <f>I306</f>
        <v>1935</v>
      </c>
      <c r="V16" s="2" t="s">
        <v>610</v>
      </c>
      <c r="W16">
        <f>$W$2*13</f>
        <v>130</v>
      </c>
    </row>
    <row r="17" spans="1:23" ht="18.600000000000001" thickBot="1" x14ac:dyDescent="0.5">
      <c r="A17" s="101" t="s">
        <v>587</v>
      </c>
      <c r="B17" s="102"/>
      <c r="C17" s="102"/>
      <c r="D17" s="102"/>
      <c r="E17" s="69">
        <f>E7+E12+E16</f>
        <v>4446.2181132999995</v>
      </c>
      <c r="F17" s="3"/>
      <c r="G17" s="3"/>
      <c r="H17" s="3"/>
      <c r="I17" s="3"/>
      <c r="J17" s="3"/>
      <c r="K17" s="3"/>
      <c r="L17" s="3"/>
      <c r="M17" s="3"/>
      <c r="O17" s="2" t="s">
        <v>647</v>
      </c>
      <c r="P17" s="13">
        <f>E332</f>
        <v>4639.1688581333337</v>
      </c>
      <c r="Q17" s="13">
        <f>I327</f>
        <v>2130</v>
      </c>
      <c r="V17" s="2" t="s">
        <v>611</v>
      </c>
      <c r="W17">
        <f>$W$2*14</f>
        <v>140</v>
      </c>
    </row>
    <row r="18" spans="1:23" x14ac:dyDescent="0.4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O18" s="2" t="s">
        <v>648</v>
      </c>
      <c r="P18" s="13">
        <f>E353</f>
        <v>4665.7291136888889</v>
      </c>
      <c r="Q18" s="13">
        <f>I348</f>
        <v>2250</v>
      </c>
      <c r="V18" s="2" t="s">
        <v>612</v>
      </c>
      <c r="W18">
        <f>$W$2*15</f>
        <v>150</v>
      </c>
    </row>
    <row r="19" spans="1:23" x14ac:dyDescent="0.4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2" t="s">
        <v>649</v>
      </c>
      <c r="P19" s="13">
        <f>E374</f>
        <v>4691.5543692444444</v>
      </c>
      <c r="Q19" s="13">
        <f>I369</f>
        <v>2380</v>
      </c>
      <c r="V19" s="2" t="s">
        <v>613</v>
      </c>
      <c r="W19">
        <f>$W$2*16</f>
        <v>160</v>
      </c>
    </row>
    <row r="20" spans="1:23" x14ac:dyDescent="0.4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2" t="s">
        <v>650</v>
      </c>
      <c r="P20" s="13">
        <f>E395</f>
        <v>4716.6398248000005</v>
      </c>
      <c r="Q20" s="13">
        <f>I390</f>
        <v>2500</v>
      </c>
      <c r="V20" s="2" t="s">
        <v>614</v>
      </c>
      <c r="W20">
        <f>$W$2*17</f>
        <v>170</v>
      </c>
    </row>
    <row r="21" spans="1:23" x14ac:dyDescent="0.4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2" t="s">
        <v>651</v>
      </c>
      <c r="P21" s="13">
        <f>E416</f>
        <v>4743.8553248000007</v>
      </c>
      <c r="Q21" s="13">
        <f>I411</f>
        <v>2630</v>
      </c>
      <c r="V21" s="2" t="s">
        <v>615</v>
      </c>
      <c r="W21">
        <f>$W$2*18</f>
        <v>180</v>
      </c>
    </row>
    <row r="22" spans="1:23" x14ac:dyDescent="0.4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2" t="s">
        <v>652</v>
      </c>
      <c r="P22" s="13">
        <f>E437</f>
        <v>4770.3213248000002</v>
      </c>
      <c r="Q22" s="13">
        <f>I432</f>
        <v>2750</v>
      </c>
      <c r="V22" s="2" t="s">
        <v>616</v>
      </c>
      <c r="W22">
        <f>$W$2*19</f>
        <v>190</v>
      </c>
    </row>
    <row r="23" spans="1:23" ht="18.600000000000001" thickBot="1" x14ac:dyDescent="0.5">
      <c r="A23" s="10" t="s">
        <v>588</v>
      </c>
      <c r="B23" s="61"/>
      <c r="C23" s="61"/>
      <c r="D23" s="61"/>
      <c r="E23" s="61"/>
      <c r="F23" s="61"/>
      <c r="G23" s="61"/>
      <c r="H23" s="100" t="s">
        <v>1</v>
      </c>
      <c r="I23" s="100"/>
      <c r="J23" s="3"/>
      <c r="K23" s="3"/>
      <c r="L23" s="3"/>
      <c r="M23" s="3"/>
      <c r="O23" s="2" t="s">
        <v>653</v>
      </c>
      <c r="P23" s="13">
        <f>E458</f>
        <v>4796.0329247999998</v>
      </c>
      <c r="Q23" s="13">
        <f>I453</f>
        <v>2880</v>
      </c>
      <c r="V23" s="2" t="s">
        <v>617</v>
      </c>
      <c r="W23">
        <f>$W$2*20</f>
        <v>200</v>
      </c>
    </row>
    <row r="24" spans="1:23" x14ac:dyDescent="0.45">
      <c r="A24" s="117" t="s">
        <v>576</v>
      </c>
      <c r="B24" s="118"/>
      <c r="C24" s="118"/>
      <c r="D24" s="118"/>
      <c r="E24" s="119"/>
      <c r="F24" s="120" t="s">
        <v>577</v>
      </c>
      <c r="G24" s="121"/>
      <c r="H24" s="121"/>
      <c r="I24" s="122"/>
      <c r="J24" s="3"/>
      <c r="K24" s="44" t="s">
        <v>590</v>
      </c>
      <c r="L24" s="39">
        <f>損益分岐点!$M$2</f>
        <v>10</v>
      </c>
      <c r="M24" s="3" t="s">
        <v>465</v>
      </c>
      <c r="O24" s="2" t="s">
        <v>654</v>
      </c>
      <c r="P24" s="13">
        <f>E479</f>
        <v>4820.9853247999999</v>
      </c>
      <c r="Q24" s="13">
        <f>I474</f>
        <v>3000</v>
      </c>
      <c r="V24" s="2" t="s">
        <v>618</v>
      </c>
      <c r="W24">
        <f>$W$2*21</f>
        <v>210</v>
      </c>
    </row>
    <row r="25" spans="1:23" x14ac:dyDescent="0.45">
      <c r="A25" s="123" t="s">
        <v>578</v>
      </c>
      <c r="B25" s="124"/>
      <c r="C25" s="124"/>
      <c r="D25" s="124"/>
      <c r="E25" s="65" t="s">
        <v>0</v>
      </c>
      <c r="F25" s="125" t="s">
        <v>578</v>
      </c>
      <c r="G25" s="124"/>
      <c r="H25" s="124"/>
      <c r="I25" s="65" t="s">
        <v>0</v>
      </c>
      <c r="J25" s="3"/>
      <c r="K25" s="58" t="s">
        <v>589</v>
      </c>
      <c r="L25" s="74">
        <f>$T$3</f>
        <v>1</v>
      </c>
      <c r="M25" s="3" t="s">
        <v>594</v>
      </c>
      <c r="O25" s="2" t="s">
        <v>655</v>
      </c>
      <c r="P25" s="13">
        <f>E500</f>
        <v>4845.1734248000002</v>
      </c>
      <c r="Q25" s="13">
        <f>I495</f>
        <v>3130</v>
      </c>
      <c r="V25" s="2" t="s">
        <v>619</v>
      </c>
      <c r="W25">
        <f>$W$2*22</f>
        <v>220</v>
      </c>
    </row>
    <row r="26" spans="1:23" ht="18.600000000000001" thickBot="1" x14ac:dyDescent="0.5">
      <c r="A26" s="116" t="s">
        <v>3</v>
      </c>
      <c r="B26" s="115"/>
      <c r="C26" s="115"/>
      <c r="D26" s="115"/>
      <c r="E26" s="67">
        <f>IF(真実の家賃!$L$1=TRUE,計算用1!E25,計算用2!E25)</f>
        <v>0</v>
      </c>
      <c r="F26" s="114" t="s">
        <v>7</v>
      </c>
      <c r="G26" s="115"/>
      <c r="H26" s="115"/>
      <c r="I26" s="70">
        <f>L24*5*L25</f>
        <v>50</v>
      </c>
      <c r="J26" s="3"/>
      <c r="K26" s="73" t="s">
        <v>628</v>
      </c>
      <c r="L26" s="72">
        <v>2</v>
      </c>
      <c r="M26" s="3" t="s">
        <v>468</v>
      </c>
      <c r="O26" s="2" t="s">
        <v>656</v>
      </c>
      <c r="P26" s="13">
        <f>E521</f>
        <v>4868.5924248000001</v>
      </c>
      <c r="Q26" s="13">
        <f>I516</f>
        <v>3250</v>
      </c>
      <c r="V26" s="2" t="s">
        <v>620</v>
      </c>
      <c r="W26">
        <f>$W$2*23</f>
        <v>230</v>
      </c>
    </row>
    <row r="27" spans="1:23" x14ac:dyDescent="0.45">
      <c r="A27" s="116" t="s">
        <v>6</v>
      </c>
      <c r="B27" s="115"/>
      <c r="C27" s="115"/>
      <c r="D27" s="115"/>
      <c r="E27" s="67">
        <f>IF(真実の家賃!$L$1=TRUE,計算用1!E26,計算用2!E26)</f>
        <v>238.79999999999998</v>
      </c>
      <c r="F27" s="111" t="s">
        <v>579</v>
      </c>
      <c r="G27" s="112"/>
      <c r="H27" s="112"/>
      <c r="I27" s="71">
        <f>I26</f>
        <v>50</v>
      </c>
      <c r="J27" s="3"/>
      <c r="K27" s="3"/>
      <c r="L27" s="3"/>
      <c r="M27" s="3"/>
      <c r="O27" s="2" t="s">
        <v>657</v>
      </c>
      <c r="P27" s="13">
        <f>E542</f>
        <v>4891.2373248000004</v>
      </c>
      <c r="Q27" s="13">
        <f>I537</f>
        <v>3380</v>
      </c>
      <c r="V27" s="2" t="s">
        <v>621</v>
      </c>
      <c r="W27">
        <f>$W$2*24</f>
        <v>240</v>
      </c>
    </row>
    <row r="28" spans="1:23" x14ac:dyDescent="0.45">
      <c r="A28" s="113" t="s">
        <v>579</v>
      </c>
      <c r="B28" s="112"/>
      <c r="C28" s="112"/>
      <c r="D28" s="112"/>
      <c r="E28" s="68">
        <f>SUM(E26:E27)</f>
        <v>238.79999999999998</v>
      </c>
      <c r="F28" s="114" t="s">
        <v>583</v>
      </c>
      <c r="G28" s="115"/>
      <c r="H28" s="115"/>
      <c r="I28" s="70">
        <f>L26*12*L24</f>
        <v>240</v>
      </c>
      <c r="J28" s="3"/>
      <c r="K28" s="3"/>
      <c r="L28" s="3"/>
      <c r="M28" s="3"/>
      <c r="O28" s="2" t="s">
        <v>658</v>
      </c>
      <c r="P28" s="13">
        <f>E563</f>
        <v>4913.1030248000006</v>
      </c>
      <c r="Q28" s="13">
        <f>I558</f>
        <v>3500</v>
      </c>
      <c r="V28" s="2" t="s">
        <v>622</v>
      </c>
      <c r="W28">
        <f>$W$2*25</f>
        <v>250</v>
      </c>
    </row>
    <row r="29" spans="1:23" x14ac:dyDescent="0.45">
      <c r="A29" s="116" t="s">
        <v>580</v>
      </c>
      <c r="B29" s="115"/>
      <c r="C29" s="115"/>
      <c r="D29" s="115"/>
      <c r="E29" s="67">
        <f>IF(真実の家賃!$L$1=TRUE,計算用1!E28,計算用2!E28)</f>
        <v>254.33760000000001</v>
      </c>
      <c r="F29" s="114" t="s">
        <v>596</v>
      </c>
      <c r="G29" s="115"/>
      <c r="H29" s="115"/>
      <c r="I29" s="70">
        <f>_xlfn.SWITCH(L26,1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20</v>
      </c>
      <c r="J29" s="3"/>
      <c r="K29" s="3"/>
      <c r="L29" s="3"/>
      <c r="M29" s="3"/>
      <c r="O29" s="2" t="s">
        <v>659</v>
      </c>
      <c r="P29" s="13">
        <f>E584</f>
        <v>4934.1844247999998</v>
      </c>
      <c r="Q29" s="13">
        <f>I579</f>
        <v>3630</v>
      </c>
      <c r="V29" s="2"/>
    </row>
    <row r="30" spans="1:23" x14ac:dyDescent="0.45">
      <c r="A30" s="105" t="s">
        <v>581</v>
      </c>
      <c r="B30" s="106"/>
      <c r="C30" s="106"/>
      <c r="D30" s="106"/>
      <c r="E30" s="67">
        <f>IF(真実の家賃!$L$1=TRUE,計算用1!E29,計算用2!E29)</f>
        <v>30</v>
      </c>
      <c r="F30" s="111" t="s">
        <v>582</v>
      </c>
      <c r="G30" s="112"/>
      <c r="H30" s="112"/>
      <c r="I30" s="71">
        <f>SUM(I28:I29)</f>
        <v>260</v>
      </c>
      <c r="J30" s="3"/>
      <c r="K30" s="3"/>
      <c r="L30" s="3"/>
      <c r="M30" s="3"/>
      <c r="O30" s="2" t="s">
        <v>660</v>
      </c>
      <c r="P30" s="13">
        <f>E605</f>
        <v>4954.4764248000001</v>
      </c>
      <c r="Q30" s="13">
        <f>I600</f>
        <v>3750</v>
      </c>
    </row>
    <row r="31" spans="1:23" x14ac:dyDescent="0.45">
      <c r="A31" s="116" t="s">
        <v>9</v>
      </c>
      <c r="B31" s="115"/>
      <c r="C31" s="115"/>
      <c r="D31" s="115"/>
      <c r="E31" s="67">
        <f>IF(真実の家賃!$L$1=TRUE,計算用1!E30,計算用2!E30)</f>
        <v>-53.5817233</v>
      </c>
      <c r="F31" s="110" t="s">
        <v>585</v>
      </c>
      <c r="G31" s="106"/>
      <c r="H31" s="106"/>
      <c r="I31" s="70">
        <f>15*L25</f>
        <v>15</v>
      </c>
      <c r="J31" s="3"/>
      <c r="K31" s="3"/>
      <c r="L31" s="3"/>
      <c r="M31" s="3"/>
      <c r="O31" s="2" t="s">
        <v>661</v>
      </c>
      <c r="P31" s="13">
        <f>E626</f>
        <v>4973.9738248000003</v>
      </c>
      <c r="Q31" s="13">
        <f>I621</f>
        <v>3880</v>
      </c>
    </row>
    <row r="32" spans="1:23" x14ac:dyDescent="0.45">
      <c r="A32" s="105" t="s">
        <v>10</v>
      </c>
      <c r="B32" s="106"/>
      <c r="C32" s="106"/>
      <c r="D32" s="106"/>
      <c r="E32" s="67">
        <f>IF(真実の家賃!$L$1=TRUE,計算用1!E31,計算用2!E31)</f>
        <v>0</v>
      </c>
      <c r="F32" s="109" t="s">
        <v>586</v>
      </c>
      <c r="G32" s="108"/>
      <c r="H32" s="108"/>
      <c r="I32" s="71">
        <f>I31</f>
        <v>15</v>
      </c>
      <c r="J32" s="3"/>
      <c r="K32" s="3"/>
      <c r="L32" s="3"/>
      <c r="M32" s="3"/>
      <c r="O32" s="2" t="s">
        <v>662</v>
      </c>
      <c r="P32" s="13">
        <f>E647</f>
        <v>4992.6714247999998</v>
      </c>
      <c r="Q32" s="13">
        <f>I642</f>
        <v>4065</v>
      </c>
    </row>
    <row r="33" spans="1:17" ht="18.600000000000001" thickBot="1" x14ac:dyDescent="0.5">
      <c r="A33" s="113" t="s">
        <v>582</v>
      </c>
      <c r="B33" s="112"/>
      <c r="C33" s="112"/>
      <c r="D33" s="112"/>
      <c r="E33" s="68">
        <f>E29+E30+E31+E32</f>
        <v>230.75587670000002</v>
      </c>
      <c r="F33" s="103" t="s">
        <v>587</v>
      </c>
      <c r="G33" s="104"/>
      <c r="H33" s="104"/>
      <c r="I33" s="66">
        <f>I27+I30+I32</f>
        <v>325</v>
      </c>
      <c r="J33" s="3"/>
      <c r="K33" s="3"/>
      <c r="L33" s="3"/>
      <c r="M33" s="3"/>
      <c r="O33" s="2" t="s">
        <v>663</v>
      </c>
      <c r="P33" s="13">
        <f>E668</f>
        <v>5010.5642248000004</v>
      </c>
      <c r="Q33" s="13">
        <f>I663</f>
        <v>4195</v>
      </c>
    </row>
    <row r="34" spans="1:17" x14ac:dyDescent="0.45">
      <c r="A34" s="105" t="s">
        <v>12</v>
      </c>
      <c r="B34" s="106"/>
      <c r="C34" s="106"/>
      <c r="D34" s="106"/>
      <c r="E34" s="67">
        <f>IF(真実の家賃!$L$1=TRUE,計算用1!E33,計算用2!E33)</f>
        <v>3776.1338000000001</v>
      </c>
      <c r="F34" s="3"/>
      <c r="G34" s="3"/>
      <c r="H34" s="3"/>
      <c r="I34" s="3"/>
      <c r="J34" s="3"/>
      <c r="K34" s="3"/>
      <c r="L34" s="3"/>
      <c r="M34" s="3"/>
      <c r="O34" s="2" t="s">
        <v>664</v>
      </c>
      <c r="P34" s="13">
        <f>E689</f>
        <v>5027.6467247999999</v>
      </c>
      <c r="Q34" s="13">
        <f>I684</f>
        <v>4315</v>
      </c>
    </row>
    <row r="35" spans="1:17" x14ac:dyDescent="0.45">
      <c r="A35" s="105" t="s">
        <v>584</v>
      </c>
      <c r="B35" s="106"/>
      <c r="C35" s="106"/>
      <c r="D35" s="106"/>
      <c r="E35" s="67">
        <f>IF(真実の家賃!$L$1=TRUE,計算用1!E34,計算用2!E34)</f>
        <v>193.69333333333336</v>
      </c>
      <c r="F35" s="3"/>
      <c r="G35" s="3"/>
      <c r="H35" s="3"/>
      <c r="I35" s="3"/>
      <c r="J35" s="3"/>
      <c r="K35" s="3"/>
      <c r="L35" s="3"/>
      <c r="M35" s="3"/>
      <c r="O35" s="2" t="s">
        <v>665</v>
      </c>
      <c r="P35" s="13">
        <f>E710</f>
        <v>5043.9137248000006</v>
      </c>
      <c r="Q35" s="13">
        <f>I705</f>
        <v>4445</v>
      </c>
    </row>
    <row r="36" spans="1:17" x14ac:dyDescent="0.45">
      <c r="A36" s="105" t="s">
        <v>585</v>
      </c>
      <c r="B36" s="106"/>
      <c r="C36" s="106"/>
      <c r="D36" s="106"/>
      <c r="E36" s="67">
        <f>$T$8</f>
        <v>15</v>
      </c>
      <c r="F36" s="3"/>
      <c r="G36" s="3"/>
      <c r="H36" s="3"/>
      <c r="I36" s="3"/>
      <c r="J36" s="3"/>
      <c r="K36" s="3"/>
      <c r="L36" s="3"/>
      <c r="M36" s="3"/>
      <c r="O36" s="2" t="s">
        <v>666</v>
      </c>
      <c r="P36" s="13">
        <f>E731</f>
        <v>5059.359924800001</v>
      </c>
      <c r="Q36" s="13">
        <f>I726</f>
        <v>4565</v>
      </c>
    </row>
    <row r="37" spans="1:17" x14ac:dyDescent="0.45">
      <c r="A37" s="107" t="s">
        <v>586</v>
      </c>
      <c r="B37" s="108"/>
      <c r="C37" s="108"/>
      <c r="D37" s="108"/>
      <c r="E37" s="68">
        <f>SUM(E34:E36)</f>
        <v>3984.8271333333332</v>
      </c>
      <c r="F37" s="3"/>
      <c r="G37" s="3"/>
      <c r="H37" s="3"/>
      <c r="I37" s="3"/>
      <c r="J37" s="3"/>
      <c r="K37" s="3"/>
      <c r="L37" s="3"/>
      <c r="M37" s="3"/>
      <c r="O37" s="2" t="s">
        <v>667</v>
      </c>
      <c r="P37" s="13">
        <f>E752</f>
        <v>5074.3367248000004</v>
      </c>
      <c r="Q37" s="13">
        <f>I747</f>
        <v>4695</v>
      </c>
    </row>
    <row r="38" spans="1:17" ht="18.600000000000001" thickBot="1" x14ac:dyDescent="0.5">
      <c r="A38" s="101" t="s">
        <v>587</v>
      </c>
      <c r="B38" s="102"/>
      <c r="C38" s="102"/>
      <c r="D38" s="102"/>
      <c r="E38" s="69">
        <f>E28+E33+E37</f>
        <v>4454.3830100333334</v>
      </c>
      <c r="F38" s="3"/>
      <c r="G38" s="3"/>
      <c r="H38" s="3"/>
      <c r="I38" s="3"/>
      <c r="J38" s="3"/>
      <c r="K38" s="3"/>
      <c r="L38" s="3"/>
      <c r="M38" s="3"/>
      <c r="O38" s="2" t="s">
        <v>668</v>
      </c>
      <c r="P38" s="13">
        <f>E773</f>
        <v>5089.3367248000004</v>
      </c>
      <c r="Q38" s="13">
        <f>I768</f>
        <v>4815</v>
      </c>
    </row>
    <row r="39" spans="1:17" x14ac:dyDescent="0.4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2" t="s">
        <v>669</v>
      </c>
      <c r="P39" s="13">
        <f>E794</f>
        <v>5104.3367248000004</v>
      </c>
      <c r="Q39" s="13">
        <f>I789</f>
        <v>4945</v>
      </c>
    </row>
    <row r="40" spans="1:17" x14ac:dyDescent="0.4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2" t="s">
        <v>670</v>
      </c>
      <c r="P40" s="13">
        <f>E815</f>
        <v>5119.3367248000004</v>
      </c>
      <c r="Q40" s="13">
        <f>I810</f>
        <v>5065</v>
      </c>
    </row>
    <row r="41" spans="1:17" x14ac:dyDescent="0.4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O41" s="2" t="s">
        <v>671</v>
      </c>
      <c r="P41" s="13">
        <f>E836</f>
        <v>5134.3367248000004</v>
      </c>
      <c r="Q41" s="13">
        <f>I831</f>
        <v>5195</v>
      </c>
    </row>
    <row r="42" spans="1:17" x14ac:dyDescent="0.4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O42" s="2" t="s">
        <v>672</v>
      </c>
      <c r="P42" s="13">
        <f>E857</f>
        <v>5149.3367248000004</v>
      </c>
      <c r="Q42" s="13">
        <f>I852</f>
        <v>5315</v>
      </c>
    </row>
    <row r="43" spans="1:17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2" t="s">
        <v>673</v>
      </c>
      <c r="P43" s="13">
        <f>E878</f>
        <v>5164.3367248000004</v>
      </c>
      <c r="Q43" s="13">
        <f>I873</f>
        <v>5445</v>
      </c>
    </row>
    <row r="44" spans="1:17" ht="18.600000000000001" thickBot="1" x14ac:dyDescent="0.5">
      <c r="A44" s="10" t="s">
        <v>588</v>
      </c>
      <c r="B44" s="61"/>
      <c r="C44" s="61"/>
      <c r="D44" s="61"/>
      <c r="E44" s="61"/>
      <c r="F44" s="61"/>
      <c r="G44" s="61"/>
      <c r="H44" s="100" t="s">
        <v>1</v>
      </c>
      <c r="I44" s="100"/>
      <c r="J44" s="3"/>
      <c r="K44" s="3"/>
      <c r="L44" s="3"/>
      <c r="M44" s="3"/>
      <c r="O44" s="2" t="s">
        <v>674</v>
      </c>
      <c r="P44" s="13">
        <f>E899</f>
        <v>5179.3367248000004</v>
      </c>
      <c r="Q44" s="13">
        <f>I894</f>
        <v>5565</v>
      </c>
    </row>
    <row r="45" spans="1:17" x14ac:dyDescent="0.45">
      <c r="A45" s="117" t="s">
        <v>576</v>
      </c>
      <c r="B45" s="118"/>
      <c r="C45" s="118"/>
      <c r="D45" s="118"/>
      <c r="E45" s="119"/>
      <c r="F45" s="120" t="s">
        <v>577</v>
      </c>
      <c r="G45" s="121"/>
      <c r="H45" s="121"/>
      <c r="I45" s="122"/>
      <c r="J45" s="3"/>
      <c r="K45" s="44" t="s">
        <v>590</v>
      </c>
      <c r="L45" s="39">
        <f>損益分岐点!$M$2</f>
        <v>10</v>
      </c>
      <c r="M45" s="3" t="s">
        <v>465</v>
      </c>
      <c r="O45" s="2" t="s">
        <v>675</v>
      </c>
      <c r="P45" s="13">
        <f>E920</f>
        <v>5194.3367248000004</v>
      </c>
      <c r="Q45" s="13">
        <f>I915</f>
        <v>5695</v>
      </c>
    </row>
    <row r="46" spans="1:17" x14ac:dyDescent="0.45">
      <c r="A46" s="123" t="s">
        <v>578</v>
      </c>
      <c r="B46" s="124"/>
      <c r="C46" s="124"/>
      <c r="D46" s="124"/>
      <c r="E46" s="65" t="s">
        <v>0</v>
      </c>
      <c r="F46" s="125" t="s">
        <v>578</v>
      </c>
      <c r="G46" s="124"/>
      <c r="H46" s="124"/>
      <c r="I46" s="65" t="s">
        <v>0</v>
      </c>
      <c r="J46" s="3"/>
      <c r="K46" s="58" t="s">
        <v>589</v>
      </c>
      <c r="L46" s="74">
        <f>$T$3</f>
        <v>1</v>
      </c>
      <c r="M46" s="3" t="s">
        <v>594</v>
      </c>
      <c r="O46" s="2" t="s">
        <v>676</v>
      </c>
      <c r="P46" s="13">
        <f>E941</f>
        <v>5209.3367248000004</v>
      </c>
      <c r="Q46" s="13">
        <f>I936</f>
        <v>5815</v>
      </c>
    </row>
    <row r="47" spans="1:17" ht="18.600000000000001" thickBot="1" x14ac:dyDescent="0.5">
      <c r="A47" s="116" t="s">
        <v>3</v>
      </c>
      <c r="B47" s="115"/>
      <c r="C47" s="115"/>
      <c r="D47" s="115"/>
      <c r="E47" s="67">
        <f>IF(真実の家賃!$L$1=TRUE,計算用1!E46,計算用2!E46)</f>
        <v>0</v>
      </c>
      <c r="F47" s="114" t="s">
        <v>7</v>
      </c>
      <c r="G47" s="115"/>
      <c r="H47" s="115"/>
      <c r="I47" s="70">
        <f>L45*5*L46</f>
        <v>50</v>
      </c>
      <c r="J47" s="3"/>
      <c r="K47" s="73" t="s">
        <v>628</v>
      </c>
      <c r="L47" s="72">
        <v>3</v>
      </c>
      <c r="M47" s="3" t="s">
        <v>468</v>
      </c>
      <c r="O47" s="2" t="s">
        <v>677</v>
      </c>
      <c r="P47" s="13">
        <f>E962</f>
        <v>5224.3367248000004</v>
      </c>
      <c r="Q47" s="13">
        <f>I957</f>
        <v>6010</v>
      </c>
    </row>
    <row r="48" spans="1:17" x14ac:dyDescent="0.45">
      <c r="A48" s="116" t="s">
        <v>6</v>
      </c>
      <c r="B48" s="115"/>
      <c r="C48" s="115"/>
      <c r="D48" s="115"/>
      <c r="E48" s="67">
        <f>IF(真実の家賃!$L$1=TRUE,計算用1!E47,計算用2!E47)</f>
        <v>238.79999999999998</v>
      </c>
      <c r="F48" s="111" t="s">
        <v>579</v>
      </c>
      <c r="G48" s="112"/>
      <c r="H48" s="112"/>
      <c r="I48" s="71">
        <f>I47</f>
        <v>50</v>
      </c>
      <c r="J48" s="3"/>
      <c r="K48" s="3"/>
      <c r="L48" s="3"/>
      <c r="M48" s="3"/>
      <c r="O48" s="2" t="s">
        <v>678</v>
      </c>
      <c r="P48" s="13">
        <f>E983</f>
        <v>5239.3367248000004</v>
      </c>
      <c r="Q48" s="13">
        <f>I978</f>
        <v>6130</v>
      </c>
    </row>
    <row r="49" spans="1:17" x14ac:dyDescent="0.45">
      <c r="A49" s="113" t="s">
        <v>579</v>
      </c>
      <c r="B49" s="112"/>
      <c r="C49" s="112"/>
      <c r="D49" s="112"/>
      <c r="E49" s="68">
        <f>SUM(E47:E48)</f>
        <v>238.79999999999998</v>
      </c>
      <c r="F49" s="114" t="s">
        <v>583</v>
      </c>
      <c r="G49" s="115"/>
      <c r="H49" s="115"/>
      <c r="I49" s="70">
        <f>L47*12*L45</f>
        <v>360</v>
      </c>
      <c r="J49" s="3"/>
      <c r="K49" s="3"/>
      <c r="L49" s="3"/>
      <c r="M49" s="3"/>
      <c r="O49" s="2" t="s">
        <v>679</v>
      </c>
      <c r="P49" s="13">
        <f>E1004</f>
        <v>5254.3367248000004</v>
      </c>
      <c r="Q49" s="13">
        <f>I999</f>
        <v>6260</v>
      </c>
    </row>
    <row r="50" spans="1:17" x14ac:dyDescent="0.45">
      <c r="A50" s="116" t="s">
        <v>580</v>
      </c>
      <c r="B50" s="115"/>
      <c r="C50" s="115"/>
      <c r="D50" s="115"/>
      <c r="E50" s="67">
        <f>IF(真実の家賃!$L$1=TRUE,計算用1!E49,計算用2!E49)</f>
        <v>381.50639999999999</v>
      </c>
      <c r="F50" s="114" t="s">
        <v>596</v>
      </c>
      <c r="G50" s="115"/>
      <c r="H50" s="115"/>
      <c r="I50" s="70">
        <f>_xlfn.SWITCH(L47,1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20</v>
      </c>
      <c r="J50" s="3"/>
      <c r="K50" s="3"/>
      <c r="L50" s="3"/>
      <c r="M50" s="3"/>
      <c r="O50" s="2" t="s">
        <v>680</v>
      </c>
      <c r="P50" s="13">
        <f>E1025</f>
        <v>5269.3367248000004</v>
      </c>
      <c r="Q50" s="13">
        <f>I1020</f>
        <v>6380</v>
      </c>
    </row>
    <row r="51" spans="1:17" x14ac:dyDescent="0.45">
      <c r="A51" s="105" t="s">
        <v>581</v>
      </c>
      <c r="B51" s="106"/>
      <c r="C51" s="106"/>
      <c r="D51" s="106"/>
      <c r="E51" s="67">
        <f>IF(真実の家賃!$L$1=TRUE,計算用1!E50,計算用2!E50)</f>
        <v>45</v>
      </c>
      <c r="F51" s="111" t="s">
        <v>582</v>
      </c>
      <c r="G51" s="112"/>
      <c r="H51" s="112"/>
      <c r="I51" s="71">
        <f>SUM(I49:I50)</f>
        <v>380</v>
      </c>
      <c r="J51" s="3"/>
      <c r="K51" s="3"/>
      <c r="L51" s="3"/>
      <c r="M51" s="3"/>
      <c r="O51" s="2" t="s">
        <v>681</v>
      </c>
      <c r="P51" s="13">
        <f>E1046</f>
        <v>5284.3367248000004</v>
      </c>
      <c r="Q51" s="13">
        <f>I1041</f>
        <v>6510</v>
      </c>
    </row>
    <row r="52" spans="1:17" x14ac:dyDescent="0.45">
      <c r="A52" s="116" t="s">
        <v>9</v>
      </c>
      <c r="B52" s="115"/>
      <c r="C52" s="115"/>
      <c r="D52" s="115"/>
      <c r="E52" s="67">
        <f>IF(真実の家賃!$L$1=TRUE,計算用1!E51,計算用2!E51)</f>
        <v>-79.294145</v>
      </c>
      <c r="F52" s="110" t="s">
        <v>585</v>
      </c>
      <c r="G52" s="106"/>
      <c r="H52" s="106"/>
      <c r="I52" s="70">
        <f>15*L46</f>
        <v>15</v>
      </c>
      <c r="J52" s="3"/>
      <c r="K52" s="3"/>
      <c r="L52" s="3"/>
      <c r="M52" s="3"/>
    </row>
    <row r="53" spans="1:17" x14ac:dyDescent="0.45">
      <c r="A53" s="105" t="s">
        <v>10</v>
      </c>
      <c r="B53" s="106"/>
      <c r="C53" s="106"/>
      <c r="D53" s="106"/>
      <c r="E53" s="67">
        <f>IF(真実の家賃!$L$1=TRUE,計算用1!E52,計算用2!E52)</f>
        <v>0</v>
      </c>
      <c r="F53" s="109" t="s">
        <v>586</v>
      </c>
      <c r="G53" s="108"/>
      <c r="H53" s="108"/>
      <c r="I53" s="71">
        <f>I52</f>
        <v>15</v>
      </c>
      <c r="J53" s="3"/>
      <c r="K53" s="3"/>
      <c r="L53" s="3"/>
      <c r="M53" s="3"/>
    </row>
    <row r="54" spans="1:17" ht="18.600000000000001" thickBot="1" x14ac:dyDescent="0.5">
      <c r="A54" s="113" t="s">
        <v>582</v>
      </c>
      <c r="B54" s="112"/>
      <c r="C54" s="112"/>
      <c r="D54" s="112"/>
      <c r="E54" s="68">
        <f>E50+E51+E52+E53</f>
        <v>347.21225499999997</v>
      </c>
      <c r="F54" s="103" t="s">
        <v>587</v>
      </c>
      <c r="G54" s="104"/>
      <c r="H54" s="104"/>
      <c r="I54" s="66">
        <f>I48+I51+I53</f>
        <v>445</v>
      </c>
      <c r="J54" s="3"/>
      <c r="K54" s="3"/>
      <c r="L54" s="3"/>
      <c r="M54" s="3"/>
    </row>
    <row r="55" spans="1:17" x14ac:dyDescent="0.45">
      <c r="A55" s="105" t="s">
        <v>12</v>
      </c>
      <c r="B55" s="106"/>
      <c r="C55" s="106"/>
      <c r="D55" s="106"/>
      <c r="E55" s="67">
        <f>IF(真実の家賃!$L$1=TRUE,計算用1!E54,計算用2!E54)</f>
        <v>3673.2031000000002</v>
      </c>
      <c r="F55" s="3"/>
      <c r="G55" s="3"/>
      <c r="H55" s="3"/>
      <c r="I55" s="3"/>
      <c r="J55" s="3"/>
      <c r="K55" s="3"/>
      <c r="L55" s="3"/>
      <c r="M55" s="3"/>
    </row>
    <row r="56" spans="1:17" x14ac:dyDescent="0.45">
      <c r="A56" s="105" t="s">
        <v>584</v>
      </c>
      <c r="B56" s="106"/>
      <c r="C56" s="106"/>
      <c r="D56" s="106"/>
      <c r="E56" s="67">
        <f>IF(真実の家賃!$L$1=TRUE,計算用1!E55,計算用2!E55)</f>
        <v>188.38666666666668</v>
      </c>
      <c r="F56" s="3"/>
      <c r="G56" s="3"/>
      <c r="H56" s="3"/>
      <c r="I56" s="3"/>
      <c r="J56" s="3"/>
      <c r="K56" s="3"/>
      <c r="L56" s="3"/>
      <c r="M56" s="3"/>
    </row>
    <row r="57" spans="1:17" x14ac:dyDescent="0.45">
      <c r="A57" s="105" t="s">
        <v>585</v>
      </c>
      <c r="B57" s="106"/>
      <c r="C57" s="106"/>
      <c r="D57" s="106"/>
      <c r="E57" s="67">
        <f>$T$8</f>
        <v>15</v>
      </c>
      <c r="F57" s="3"/>
      <c r="G57" s="3"/>
      <c r="H57" s="3"/>
      <c r="I57" s="3"/>
      <c r="J57" s="3"/>
      <c r="K57" s="3"/>
      <c r="L57" s="3"/>
      <c r="M57" s="3"/>
    </row>
    <row r="58" spans="1:17" x14ac:dyDescent="0.45">
      <c r="A58" s="107" t="s">
        <v>586</v>
      </c>
      <c r="B58" s="108"/>
      <c r="C58" s="108"/>
      <c r="D58" s="108"/>
      <c r="E58" s="68">
        <f>SUM(E55:E57)</f>
        <v>3876.5897666666669</v>
      </c>
      <c r="F58" s="3"/>
      <c r="G58" s="3"/>
      <c r="H58" s="3"/>
      <c r="I58" s="3"/>
      <c r="J58" s="3"/>
      <c r="K58" s="3"/>
      <c r="L58" s="3"/>
      <c r="M58" s="3"/>
    </row>
    <row r="59" spans="1:17" ht="18.600000000000001" thickBot="1" x14ac:dyDescent="0.5">
      <c r="A59" s="101" t="s">
        <v>587</v>
      </c>
      <c r="B59" s="102"/>
      <c r="C59" s="102"/>
      <c r="D59" s="102"/>
      <c r="E59" s="69">
        <f>E49+E54+E58</f>
        <v>4462.6020216666666</v>
      </c>
      <c r="F59" s="3"/>
      <c r="G59" s="3"/>
      <c r="H59" s="3"/>
      <c r="I59" s="3"/>
      <c r="J59" s="3"/>
      <c r="K59" s="3"/>
      <c r="L59" s="3"/>
      <c r="M59" s="3"/>
    </row>
    <row r="60" spans="1:17" x14ac:dyDescent="0.4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7" x14ac:dyDescent="0.4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7" x14ac:dyDescent="0.4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7" x14ac:dyDescent="0.4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7" x14ac:dyDescent="0.4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8.600000000000001" thickBot="1" x14ac:dyDescent="0.5">
      <c r="A65" s="10" t="s">
        <v>588</v>
      </c>
      <c r="B65" s="61"/>
      <c r="C65" s="61"/>
      <c r="D65" s="61"/>
      <c r="E65" s="61"/>
      <c r="F65" s="61"/>
      <c r="G65" s="61"/>
      <c r="H65" s="100" t="s">
        <v>1</v>
      </c>
      <c r="I65" s="100"/>
      <c r="J65" s="3"/>
      <c r="K65" s="3"/>
      <c r="L65" s="3"/>
      <c r="M65" s="3"/>
    </row>
    <row r="66" spans="1:13" x14ac:dyDescent="0.45">
      <c r="A66" s="117" t="s">
        <v>576</v>
      </c>
      <c r="B66" s="118"/>
      <c r="C66" s="118"/>
      <c r="D66" s="118"/>
      <c r="E66" s="119"/>
      <c r="F66" s="120" t="s">
        <v>577</v>
      </c>
      <c r="G66" s="121"/>
      <c r="H66" s="121"/>
      <c r="I66" s="122"/>
      <c r="J66" s="3"/>
      <c r="K66" s="44" t="s">
        <v>590</v>
      </c>
      <c r="L66" s="39">
        <f>損益分岐点!$M$2</f>
        <v>10</v>
      </c>
      <c r="M66" s="3" t="s">
        <v>465</v>
      </c>
    </row>
    <row r="67" spans="1:13" x14ac:dyDescent="0.45">
      <c r="A67" s="123" t="s">
        <v>578</v>
      </c>
      <c r="B67" s="124"/>
      <c r="C67" s="124"/>
      <c r="D67" s="124"/>
      <c r="E67" s="65" t="s">
        <v>0</v>
      </c>
      <c r="F67" s="125" t="s">
        <v>578</v>
      </c>
      <c r="G67" s="124"/>
      <c r="H67" s="124"/>
      <c r="I67" s="65" t="s">
        <v>0</v>
      </c>
      <c r="J67" s="3"/>
      <c r="K67" s="58" t="s">
        <v>589</v>
      </c>
      <c r="L67" s="74">
        <f>$T$3</f>
        <v>1</v>
      </c>
      <c r="M67" s="3" t="s">
        <v>594</v>
      </c>
    </row>
    <row r="68" spans="1:13" ht="18.600000000000001" thickBot="1" x14ac:dyDescent="0.5">
      <c r="A68" s="116" t="s">
        <v>3</v>
      </c>
      <c r="B68" s="115"/>
      <c r="C68" s="115"/>
      <c r="D68" s="115"/>
      <c r="E68" s="67">
        <f>IF(真実の家賃!$L$1=TRUE,計算用1!E67,計算用2!E67)</f>
        <v>0</v>
      </c>
      <c r="F68" s="114" t="s">
        <v>7</v>
      </c>
      <c r="G68" s="115"/>
      <c r="H68" s="115"/>
      <c r="I68" s="70">
        <f>L66*5*L67</f>
        <v>50</v>
      </c>
      <c r="J68" s="3"/>
      <c r="K68" s="73" t="s">
        <v>628</v>
      </c>
      <c r="L68" s="72">
        <v>4</v>
      </c>
      <c r="M68" s="3" t="s">
        <v>468</v>
      </c>
    </row>
    <row r="69" spans="1:13" x14ac:dyDescent="0.45">
      <c r="A69" s="116" t="s">
        <v>6</v>
      </c>
      <c r="B69" s="115"/>
      <c r="C69" s="115"/>
      <c r="D69" s="115"/>
      <c r="E69" s="67">
        <f>IF(真実の家賃!$L$1=TRUE,計算用1!E68,計算用2!E68)</f>
        <v>238.79999999999998</v>
      </c>
      <c r="F69" s="111" t="s">
        <v>579</v>
      </c>
      <c r="G69" s="112"/>
      <c r="H69" s="112"/>
      <c r="I69" s="71">
        <f>I68</f>
        <v>50</v>
      </c>
      <c r="J69" s="3"/>
      <c r="K69" s="3"/>
      <c r="L69" s="3"/>
      <c r="M69" s="3"/>
    </row>
    <row r="70" spans="1:13" x14ac:dyDescent="0.45">
      <c r="A70" s="113" t="s">
        <v>579</v>
      </c>
      <c r="B70" s="112"/>
      <c r="C70" s="112"/>
      <c r="D70" s="112"/>
      <c r="E70" s="68">
        <f>SUM(E68:E69)</f>
        <v>238.79999999999998</v>
      </c>
      <c r="F70" s="114" t="s">
        <v>583</v>
      </c>
      <c r="G70" s="115"/>
      <c r="H70" s="115"/>
      <c r="I70" s="70">
        <f>L68*12*L66</f>
        <v>480</v>
      </c>
      <c r="J70" s="3"/>
      <c r="K70" s="3"/>
      <c r="L70" s="3"/>
      <c r="M70" s="3"/>
    </row>
    <row r="71" spans="1:13" x14ac:dyDescent="0.45">
      <c r="A71" s="116" t="s">
        <v>580</v>
      </c>
      <c r="B71" s="115"/>
      <c r="C71" s="115"/>
      <c r="D71" s="115"/>
      <c r="E71" s="67">
        <f>IF(真実の家賃!$L$1=TRUE,計算用1!E70,計算用2!E70)</f>
        <v>508.67520000000002</v>
      </c>
      <c r="F71" s="114" t="s">
        <v>596</v>
      </c>
      <c r="G71" s="115"/>
      <c r="H71" s="115"/>
      <c r="I71" s="70">
        <f>_xlfn.SWITCH(L68,1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30</v>
      </c>
      <c r="J71" s="3"/>
      <c r="K71" s="3"/>
      <c r="L71" s="3"/>
      <c r="M71" s="3"/>
    </row>
    <row r="72" spans="1:13" x14ac:dyDescent="0.45">
      <c r="A72" s="105" t="s">
        <v>581</v>
      </c>
      <c r="B72" s="106"/>
      <c r="C72" s="106"/>
      <c r="D72" s="106"/>
      <c r="E72" s="67">
        <f>IF(真実の家賃!$L$1=TRUE,計算用1!E71,計算用2!E71)</f>
        <v>60</v>
      </c>
      <c r="F72" s="111" t="s">
        <v>582</v>
      </c>
      <c r="G72" s="112"/>
      <c r="H72" s="112"/>
      <c r="I72" s="71">
        <f t="shared" ref="I72" si="0">SUM(I70:I71)</f>
        <v>510</v>
      </c>
      <c r="J72" s="3"/>
      <c r="K72" s="3"/>
      <c r="L72" s="3"/>
      <c r="M72" s="3"/>
    </row>
    <row r="73" spans="1:13" x14ac:dyDescent="0.45">
      <c r="A73" s="116" t="s">
        <v>9</v>
      </c>
      <c r="B73" s="115"/>
      <c r="C73" s="115"/>
      <c r="D73" s="115"/>
      <c r="E73" s="67">
        <f>IF(真実の家賃!$L$1=TRUE,計算用1!E72,計算用2!E72)</f>
        <v>-104.2813534</v>
      </c>
      <c r="F73" s="110" t="s">
        <v>585</v>
      </c>
      <c r="G73" s="106"/>
      <c r="H73" s="106"/>
      <c r="I73" s="70">
        <f>15*L67</f>
        <v>15</v>
      </c>
      <c r="J73" s="3"/>
      <c r="K73" s="3"/>
      <c r="L73" s="3"/>
      <c r="M73" s="3"/>
    </row>
    <row r="74" spans="1:13" x14ac:dyDescent="0.45">
      <c r="A74" s="105" t="s">
        <v>10</v>
      </c>
      <c r="B74" s="106"/>
      <c r="C74" s="106"/>
      <c r="D74" s="106"/>
      <c r="E74" s="67">
        <f>IF(真実の家賃!$L$1=TRUE,計算用1!E73,計算用2!E73)</f>
        <v>0</v>
      </c>
      <c r="F74" s="109" t="s">
        <v>586</v>
      </c>
      <c r="G74" s="108"/>
      <c r="H74" s="108"/>
      <c r="I74" s="71">
        <f t="shared" ref="I74" si="1">I73</f>
        <v>15</v>
      </c>
      <c r="J74" s="3"/>
      <c r="K74" s="3"/>
      <c r="L74" s="3"/>
      <c r="M74" s="3"/>
    </row>
    <row r="75" spans="1:13" ht="18.600000000000001" thickBot="1" x14ac:dyDescent="0.5">
      <c r="A75" s="113" t="s">
        <v>582</v>
      </c>
      <c r="B75" s="112"/>
      <c r="C75" s="112"/>
      <c r="D75" s="112"/>
      <c r="E75" s="68">
        <f t="shared" ref="E75" si="2">E71+E72+E73+E74</f>
        <v>464.39384660000002</v>
      </c>
      <c r="F75" s="103" t="s">
        <v>587</v>
      </c>
      <c r="G75" s="104"/>
      <c r="H75" s="104"/>
      <c r="I75" s="66">
        <f t="shared" ref="I75" si="3">I69+I72+I74</f>
        <v>575</v>
      </c>
      <c r="J75" s="3"/>
      <c r="K75" s="3"/>
      <c r="L75" s="3"/>
      <c r="M75" s="3"/>
    </row>
    <row r="76" spans="1:13" x14ac:dyDescent="0.45">
      <c r="A76" s="105" t="s">
        <v>12</v>
      </c>
      <c r="B76" s="106"/>
      <c r="C76" s="106"/>
      <c r="D76" s="106"/>
      <c r="E76" s="67">
        <f>IF(真実の家賃!$L$1=TRUE,計算用1!E75,計算用2!E75)</f>
        <v>3569.6012000000001</v>
      </c>
      <c r="F76" s="3"/>
      <c r="G76" s="3"/>
      <c r="H76" s="3"/>
      <c r="I76" s="3"/>
      <c r="J76" s="3"/>
      <c r="K76" s="3"/>
      <c r="L76" s="3"/>
      <c r="M76" s="3"/>
    </row>
    <row r="77" spans="1:13" x14ac:dyDescent="0.45">
      <c r="A77" s="105" t="s">
        <v>584</v>
      </c>
      <c r="B77" s="106"/>
      <c r="C77" s="106"/>
      <c r="D77" s="106"/>
      <c r="E77" s="67">
        <f>IF(真実の家賃!$L$1=TRUE,計算用1!E76,計算用2!E76)</f>
        <v>183.08000000000004</v>
      </c>
      <c r="F77" s="3"/>
      <c r="G77" s="3"/>
      <c r="H77" s="3"/>
      <c r="I77" s="3"/>
      <c r="J77" s="3"/>
      <c r="K77" s="3"/>
      <c r="L77" s="3"/>
      <c r="M77" s="3"/>
    </row>
    <row r="78" spans="1:13" x14ac:dyDescent="0.45">
      <c r="A78" s="105" t="s">
        <v>585</v>
      </c>
      <c r="B78" s="106"/>
      <c r="C78" s="106"/>
      <c r="D78" s="106"/>
      <c r="E78" s="67">
        <f>$T$8</f>
        <v>15</v>
      </c>
      <c r="F78" s="3"/>
      <c r="G78" s="3"/>
      <c r="H78" s="3"/>
      <c r="I78" s="3"/>
      <c r="J78" s="3"/>
      <c r="K78" s="3"/>
      <c r="L78" s="3"/>
      <c r="M78" s="3"/>
    </row>
    <row r="79" spans="1:13" x14ac:dyDescent="0.45">
      <c r="A79" s="107" t="s">
        <v>586</v>
      </c>
      <c r="B79" s="108"/>
      <c r="C79" s="108"/>
      <c r="D79" s="108"/>
      <c r="E79" s="68">
        <f t="shared" ref="E79" si="4">SUM(E76:E78)</f>
        <v>3767.6812</v>
      </c>
      <c r="F79" s="3"/>
      <c r="G79" s="3"/>
      <c r="H79" s="3"/>
      <c r="I79" s="3"/>
      <c r="J79" s="3"/>
      <c r="K79" s="3"/>
      <c r="L79" s="3"/>
      <c r="M79" s="3"/>
    </row>
    <row r="80" spans="1:13" ht="18.600000000000001" thickBot="1" x14ac:dyDescent="0.5">
      <c r="A80" s="101" t="s">
        <v>587</v>
      </c>
      <c r="B80" s="102"/>
      <c r="C80" s="102"/>
      <c r="D80" s="102"/>
      <c r="E80" s="69">
        <f t="shared" ref="E80" si="5">E70+E75+E79</f>
        <v>4470.8750466000001</v>
      </c>
      <c r="F80" s="3"/>
      <c r="G80" s="3"/>
      <c r="H80" s="3"/>
      <c r="I80" s="3"/>
      <c r="J80" s="3"/>
      <c r="K80" s="3"/>
      <c r="L80" s="3"/>
      <c r="M80" s="3"/>
    </row>
    <row r="81" spans="1:13" x14ac:dyDescent="0.4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4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4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4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4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8.600000000000001" thickBot="1" x14ac:dyDescent="0.5">
      <c r="A86" s="10" t="s">
        <v>588</v>
      </c>
      <c r="B86" s="61"/>
      <c r="C86" s="61"/>
      <c r="D86" s="61"/>
      <c r="E86" s="61"/>
      <c r="F86" s="61"/>
      <c r="G86" s="61"/>
      <c r="H86" s="100" t="s">
        <v>1</v>
      </c>
      <c r="I86" s="100"/>
      <c r="J86" s="3"/>
      <c r="K86" s="3"/>
      <c r="L86" s="3"/>
      <c r="M86" s="3"/>
    </row>
    <row r="87" spans="1:13" x14ac:dyDescent="0.45">
      <c r="A87" s="117" t="s">
        <v>576</v>
      </c>
      <c r="B87" s="118"/>
      <c r="C87" s="118"/>
      <c r="D87" s="118"/>
      <c r="E87" s="119"/>
      <c r="F87" s="120" t="s">
        <v>577</v>
      </c>
      <c r="G87" s="121"/>
      <c r="H87" s="121"/>
      <c r="I87" s="122"/>
      <c r="J87" s="3"/>
      <c r="K87" s="44" t="s">
        <v>590</v>
      </c>
      <c r="L87" s="39">
        <f>損益分岐点!$M$2</f>
        <v>10</v>
      </c>
      <c r="M87" s="3" t="s">
        <v>465</v>
      </c>
    </row>
    <row r="88" spans="1:13" x14ac:dyDescent="0.45">
      <c r="A88" s="123" t="s">
        <v>578</v>
      </c>
      <c r="B88" s="124"/>
      <c r="C88" s="124"/>
      <c r="D88" s="124"/>
      <c r="E88" s="65" t="s">
        <v>0</v>
      </c>
      <c r="F88" s="125" t="s">
        <v>578</v>
      </c>
      <c r="G88" s="124"/>
      <c r="H88" s="124"/>
      <c r="I88" s="65" t="s">
        <v>0</v>
      </c>
      <c r="J88" s="3"/>
      <c r="K88" s="58" t="s">
        <v>589</v>
      </c>
      <c r="L88" s="74">
        <f>$T$3</f>
        <v>1</v>
      </c>
      <c r="M88" s="3" t="s">
        <v>594</v>
      </c>
    </row>
    <row r="89" spans="1:13" ht="18.600000000000001" thickBot="1" x14ac:dyDescent="0.5">
      <c r="A89" s="116" t="s">
        <v>3</v>
      </c>
      <c r="B89" s="115"/>
      <c r="C89" s="115"/>
      <c r="D89" s="115"/>
      <c r="E89" s="67">
        <f>IF(真実の家賃!$L$1=TRUE,計算用1!E88,計算用2!E88)</f>
        <v>0</v>
      </c>
      <c r="F89" s="114" t="s">
        <v>7</v>
      </c>
      <c r="G89" s="115"/>
      <c r="H89" s="115"/>
      <c r="I89" s="70">
        <f t="shared" ref="I89" si="6">L87*5*L88</f>
        <v>50</v>
      </c>
      <c r="J89" s="3"/>
      <c r="K89" s="73" t="s">
        <v>628</v>
      </c>
      <c r="L89" s="72">
        <v>5</v>
      </c>
      <c r="M89" s="3" t="s">
        <v>468</v>
      </c>
    </row>
    <row r="90" spans="1:13" x14ac:dyDescent="0.45">
      <c r="A90" s="116" t="s">
        <v>6</v>
      </c>
      <c r="B90" s="115"/>
      <c r="C90" s="115"/>
      <c r="D90" s="115"/>
      <c r="E90" s="67">
        <f>IF(真実の家賃!$L$1=TRUE,計算用1!E89,計算用2!E89)</f>
        <v>238.79999999999998</v>
      </c>
      <c r="F90" s="111" t="s">
        <v>579</v>
      </c>
      <c r="G90" s="112"/>
      <c r="H90" s="112"/>
      <c r="I90" s="71">
        <f t="shared" ref="I90" si="7">I89</f>
        <v>50</v>
      </c>
      <c r="J90" s="3"/>
      <c r="K90" s="3"/>
      <c r="L90" s="3"/>
      <c r="M90" s="3"/>
    </row>
    <row r="91" spans="1:13" x14ac:dyDescent="0.45">
      <c r="A91" s="113" t="s">
        <v>579</v>
      </c>
      <c r="B91" s="112"/>
      <c r="C91" s="112"/>
      <c r="D91" s="112"/>
      <c r="E91" s="68">
        <f t="shared" ref="E91" si="8">SUM(E89:E90)</f>
        <v>238.79999999999998</v>
      </c>
      <c r="F91" s="114" t="s">
        <v>583</v>
      </c>
      <c r="G91" s="115"/>
      <c r="H91" s="115"/>
      <c r="I91" s="70">
        <f t="shared" ref="I91" si="9">L89*12*L87</f>
        <v>600</v>
      </c>
      <c r="J91" s="3"/>
      <c r="K91" s="3"/>
      <c r="L91" s="3"/>
      <c r="M91" s="3"/>
    </row>
    <row r="92" spans="1:13" x14ac:dyDescent="0.45">
      <c r="A92" s="116" t="s">
        <v>580</v>
      </c>
      <c r="B92" s="115"/>
      <c r="C92" s="115"/>
      <c r="D92" s="115"/>
      <c r="E92" s="67">
        <f>IF(真実の家賃!$L$1=TRUE,計算用1!E91,計算用2!E91)</f>
        <v>635.84400000000005</v>
      </c>
      <c r="F92" s="114" t="s">
        <v>596</v>
      </c>
      <c r="G92" s="115"/>
      <c r="H92" s="115"/>
      <c r="I92" s="70">
        <f>_xlfn.SWITCH(L89,1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30</v>
      </c>
      <c r="J92" s="3"/>
      <c r="K92" s="3"/>
      <c r="L92" s="3"/>
      <c r="M92" s="3"/>
    </row>
    <row r="93" spans="1:13" x14ac:dyDescent="0.45">
      <c r="A93" s="105" t="s">
        <v>581</v>
      </c>
      <c r="B93" s="106"/>
      <c r="C93" s="106"/>
      <c r="D93" s="106"/>
      <c r="E93" s="67">
        <f>IF(真実の家賃!$L$1=TRUE,計算用1!E92,計算用2!E92)</f>
        <v>75</v>
      </c>
      <c r="F93" s="111" t="s">
        <v>582</v>
      </c>
      <c r="G93" s="112"/>
      <c r="H93" s="112"/>
      <c r="I93" s="71">
        <f t="shared" ref="I93" si="10">SUM(I91:I92)</f>
        <v>630</v>
      </c>
      <c r="J93" s="3"/>
      <c r="K93" s="3"/>
      <c r="L93" s="3"/>
      <c r="M93" s="3"/>
    </row>
    <row r="94" spans="1:13" x14ac:dyDescent="0.45">
      <c r="A94" s="116" t="s">
        <v>9</v>
      </c>
      <c r="B94" s="115"/>
      <c r="C94" s="115"/>
      <c r="D94" s="115"/>
      <c r="E94" s="67">
        <f>IF(真実の家賃!$L$1=TRUE,計算用1!E93,計算用2!E93)</f>
        <v>-128.53862139999998</v>
      </c>
      <c r="F94" s="110" t="s">
        <v>585</v>
      </c>
      <c r="G94" s="106"/>
      <c r="H94" s="106"/>
      <c r="I94" s="70">
        <f t="shared" ref="I94" si="11">15*L88</f>
        <v>15</v>
      </c>
      <c r="J94" s="3"/>
      <c r="K94" s="3"/>
      <c r="L94" s="3"/>
      <c r="M94" s="3"/>
    </row>
    <row r="95" spans="1:13" x14ac:dyDescent="0.45">
      <c r="A95" s="105" t="s">
        <v>10</v>
      </c>
      <c r="B95" s="106"/>
      <c r="C95" s="106"/>
      <c r="D95" s="106"/>
      <c r="E95" s="67">
        <f>IF(真実の家賃!$L$1=TRUE,計算用1!E94,計算用2!E94)</f>
        <v>0</v>
      </c>
      <c r="F95" s="109" t="s">
        <v>586</v>
      </c>
      <c r="G95" s="108"/>
      <c r="H95" s="108"/>
      <c r="I95" s="71">
        <f t="shared" ref="I95" si="12">I94</f>
        <v>15</v>
      </c>
      <c r="J95" s="3"/>
      <c r="K95" s="3"/>
      <c r="L95" s="3"/>
      <c r="M95" s="3"/>
    </row>
    <row r="96" spans="1:13" ht="18.600000000000001" thickBot="1" x14ac:dyDescent="0.5">
      <c r="A96" s="113" t="s">
        <v>582</v>
      </c>
      <c r="B96" s="112"/>
      <c r="C96" s="112"/>
      <c r="D96" s="112"/>
      <c r="E96" s="68">
        <f t="shared" ref="E96" si="13">E92+E93+E94+E95</f>
        <v>582.30537860000004</v>
      </c>
      <c r="F96" s="103" t="s">
        <v>587</v>
      </c>
      <c r="G96" s="104"/>
      <c r="H96" s="104"/>
      <c r="I96" s="66">
        <f t="shared" ref="I96" si="14">I90+I93+I95</f>
        <v>695</v>
      </c>
      <c r="J96" s="3"/>
      <c r="K96" s="3"/>
      <c r="L96" s="3"/>
      <c r="M96" s="3"/>
    </row>
    <row r="97" spans="1:13" x14ac:dyDescent="0.45">
      <c r="A97" s="105" t="s">
        <v>12</v>
      </c>
      <c r="B97" s="106"/>
      <c r="C97" s="106"/>
      <c r="D97" s="106"/>
      <c r="E97" s="67">
        <f>IF(真実の家賃!$L$1=TRUE,計算用1!E96,計算用2!E96)</f>
        <v>3465.3240000000001</v>
      </c>
      <c r="F97" s="3"/>
      <c r="G97" s="3"/>
      <c r="H97" s="3"/>
      <c r="I97" s="3"/>
      <c r="J97" s="3"/>
      <c r="K97" s="3"/>
      <c r="L97" s="3"/>
      <c r="M97" s="3"/>
    </row>
    <row r="98" spans="1:13" x14ac:dyDescent="0.45">
      <c r="A98" s="105" t="s">
        <v>584</v>
      </c>
      <c r="B98" s="106"/>
      <c r="C98" s="106"/>
      <c r="D98" s="106"/>
      <c r="E98" s="67">
        <f>IF(真実の家賃!$L$1=TRUE,計算用1!E97,計算用2!E97)</f>
        <v>177.7733333333334</v>
      </c>
      <c r="F98" s="3"/>
      <c r="G98" s="3"/>
      <c r="H98" s="3"/>
      <c r="I98" s="3"/>
      <c r="J98" s="3"/>
      <c r="K98" s="3"/>
      <c r="L98" s="3"/>
      <c r="M98" s="3"/>
    </row>
    <row r="99" spans="1:13" x14ac:dyDescent="0.45">
      <c r="A99" s="105" t="s">
        <v>585</v>
      </c>
      <c r="B99" s="106"/>
      <c r="C99" s="106"/>
      <c r="D99" s="106"/>
      <c r="E99" s="67">
        <f>$T$8</f>
        <v>15</v>
      </c>
      <c r="F99" s="3"/>
      <c r="G99" s="3"/>
      <c r="H99" s="3"/>
      <c r="I99" s="3"/>
      <c r="J99" s="3"/>
      <c r="K99" s="3"/>
      <c r="L99" s="3"/>
      <c r="M99" s="3"/>
    </row>
    <row r="100" spans="1:13" x14ac:dyDescent="0.45">
      <c r="A100" s="107" t="s">
        <v>586</v>
      </c>
      <c r="B100" s="108"/>
      <c r="C100" s="108"/>
      <c r="D100" s="108"/>
      <c r="E100" s="68">
        <f t="shared" ref="E100" si="15">SUM(E97:E99)</f>
        <v>3658.0973333333336</v>
      </c>
      <c r="F100" s="3"/>
      <c r="G100" s="3"/>
      <c r="H100" s="3"/>
      <c r="I100" s="3"/>
      <c r="J100" s="3"/>
      <c r="K100" s="3"/>
      <c r="L100" s="3"/>
      <c r="M100" s="3"/>
    </row>
    <row r="101" spans="1:13" ht="18.600000000000001" thickBot="1" x14ac:dyDescent="0.5">
      <c r="A101" s="101" t="s">
        <v>587</v>
      </c>
      <c r="B101" s="102"/>
      <c r="C101" s="102"/>
      <c r="D101" s="102"/>
      <c r="E101" s="69">
        <f t="shared" ref="E101" si="16">E91+E96+E100</f>
        <v>4479.2027119333334</v>
      </c>
      <c r="F101" s="3"/>
      <c r="G101" s="3"/>
      <c r="H101" s="3"/>
      <c r="I101" s="3"/>
      <c r="J101" s="3"/>
      <c r="K101" s="3"/>
      <c r="L101" s="3"/>
      <c r="M101" s="3"/>
    </row>
    <row r="102" spans="1:13" x14ac:dyDescent="0.4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4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4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4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4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8.600000000000001" thickBot="1" x14ac:dyDescent="0.5">
      <c r="A107" s="10" t="s">
        <v>588</v>
      </c>
      <c r="B107" s="61"/>
      <c r="C107" s="61"/>
      <c r="D107" s="61"/>
      <c r="E107" s="61"/>
      <c r="F107" s="61"/>
      <c r="G107" s="61"/>
      <c r="H107" s="100" t="s">
        <v>1</v>
      </c>
      <c r="I107" s="100"/>
      <c r="J107" s="3"/>
      <c r="K107" s="3"/>
      <c r="L107" s="3"/>
      <c r="M107" s="3"/>
    </row>
    <row r="108" spans="1:13" x14ac:dyDescent="0.45">
      <c r="A108" s="117" t="s">
        <v>576</v>
      </c>
      <c r="B108" s="118"/>
      <c r="C108" s="118"/>
      <c r="D108" s="118"/>
      <c r="E108" s="119"/>
      <c r="F108" s="120" t="s">
        <v>577</v>
      </c>
      <c r="G108" s="121"/>
      <c r="H108" s="121"/>
      <c r="I108" s="122"/>
      <c r="J108" s="3"/>
      <c r="K108" s="44" t="s">
        <v>590</v>
      </c>
      <c r="L108" s="39">
        <f>損益分岐点!$M$2</f>
        <v>10</v>
      </c>
      <c r="M108" s="3" t="s">
        <v>465</v>
      </c>
    </row>
    <row r="109" spans="1:13" x14ac:dyDescent="0.45">
      <c r="A109" s="123" t="s">
        <v>578</v>
      </c>
      <c r="B109" s="124"/>
      <c r="C109" s="124"/>
      <c r="D109" s="124"/>
      <c r="E109" s="65" t="s">
        <v>0</v>
      </c>
      <c r="F109" s="125" t="s">
        <v>578</v>
      </c>
      <c r="G109" s="124"/>
      <c r="H109" s="124"/>
      <c r="I109" s="65" t="s">
        <v>0</v>
      </c>
      <c r="J109" s="3"/>
      <c r="K109" s="58" t="s">
        <v>589</v>
      </c>
      <c r="L109" s="74">
        <f>$T$3</f>
        <v>1</v>
      </c>
      <c r="M109" s="3" t="s">
        <v>594</v>
      </c>
    </row>
    <row r="110" spans="1:13" ht="18.600000000000001" thickBot="1" x14ac:dyDescent="0.5">
      <c r="A110" s="116" t="s">
        <v>3</v>
      </c>
      <c r="B110" s="115"/>
      <c r="C110" s="115"/>
      <c r="D110" s="115"/>
      <c r="E110" s="67">
        <f>IF(真実の家賃!$L$1=TRUE,計算用1!E109,計算用2!E109)</f>
        <v>0</v>
      </c>
      <c r="F110" s="114" t="s">
        <v>7</v>
      </c>
      <c r="G110" s="115"/>
      <c r="H110" s="115"/>
      <c r="I110" s="70">
        <f t="shared" ref="I110" si="17">L108*5*L109</f>
        <v>50</v>
      </c>
      <c r="J110" s="3"/>
      <c r="K110" s="73" t="s">
        <v>628</v>
      </c>
      <c r="L110" s="72">
        <v>6</v>
      </c>
      <c r="M110" s="3" t="s">
        <v>468</v>
      </c>
    </row>
    <row r="111" spans="1:13" x14ac:dyDescent="0.45">
      <c r="A111" s="116" t="s">
        <v>6</v>
      </c>
      <c r="B111" s="115"/>
      <c r="C111" s="115"/>
      <c r="D111" s="115"/>
      <c r="E111" s="67">
        <f>IF(真実の家賃!$L$1=TRUE,計算用1!E110,計算用2!E110)</f>
        <v>238.79999999999998</v>
      </c>
      <c r="F111" s="111" t="s">
        <v>579</v>
      </c>
      <c r="G111" s="112"/>
      <c r="H111" s="112"/>
      <c r="I111" s="71">
        <f t="shared" ref="I111" si="18">I110</f>
        <v>50</v>
      </c>
      <c r="J111" s="3"/>
      <c r="K111" s="3"/>
      <c r="L111" s="3"/>
      <c r="M111" s="3"/>
    </row>
    <row r="112" spans="1:13" x14ac:dyDescent="0.45">
      <c r="A112" s="113" t="s">
        <v>579</v>
      </c>
      <c r="B112" s="112"/>
      <c r="C112" s="112"/>
      <c r="D112" s="112"/>
      <c r="E112" s="68">
        <f t="shared" ref="E112" si="19">SUM(E110:E111)</f>
        <v>238.79999999999998</v>
      </c>
      <c r="F112" s="114" t="s">
        <v>583</v>
      </c>
      <c r="G112" s="115"/>
      <c r="H112" s="115"/>
      <c r="I112" s="70">
        <f t="shared" ref="I112" si="20">L110*12*L108</f>
        <v>720</v>
      </c>
      <c r="J112" s="3"/>
      <c r="K112" s="3"/>
      <c r="L112" s="3"/>
      <c r="M112" s="3"/>
    </row>
    <row r="113" spans="1:13" x14ac:dyDescent="0.45">
      <c r="A113" s="116" t="s">
        <v>580</v>
      </c>
      <c r="B113" s="115"/>
      <c r="C113" s="115"/>
      <c r="D113" s="115"/>
      <c r="E113" s="67">
        <f>IF(真実の家賃!$L$1=TRUE,計算用1!E112,計算用2!E112)</f>
        <v>763.01279999999997</v>
      </c>
      <c r="F113" s="114" t="s">
        <v>596</v>
      </c>
      <c r="G113" s="115"/>
      <c r="H113" s="115"/>
      <c r="I113" s="70">
        <f>_xlfn.SWITCH(L110,1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30</v>
      </c>
      <c r="J113" s="3"/>
      <c r="K113" s="3"/>
      <c r="L113" s="3"/>
      <c r="M113" s="3"/>
    </row>
    <row r="114" spans="1:13" x14ac:dyDescent="0.45">
      <c r="A114" s="105" t="s">
        <v>581</v>
      </c>
      <c r="B114" s="106"/>
      <c r="C114" s="106"/>
      <c r="D114" s="106"/>
      <c r="E114" s="67">
        <f>IF(真実の家賃!$L$1=TRUE,計算用1!E113,計算用2!E113)</f>
        <v>90</v>
      </c>
      <c r="F114" s="111" t="s">
        <v>582</v>
      </c>
      <c r="G114" s="112"/>
      <c r="H114" s="112"/>
      <c r="I114" s="71">
        <f t="shared" ref="I114" si="21">SUM(I112:I113)</f>
        <v>750</v>
      </c>
      <c r="J114" s="3"/>
      <c r="K114" s="3"/>
      <c r="L114" s="3"/>
      <c r="M114" s="3"/>
    </row>
    <row r="115" spans="1:13" x14ac:dyDescent="0.45">
      <c r="A115" s="116" t="s">
        <v>9</v>
      </c>
      <c r="B115" s="115"/>
      <c r="C115" s="115"/>
      <c r="D115" s="115"/>
      <c r="E115" s="67">
        <f>IF(真実の家賃!$L$1=TRUE,計算用1!E114,計算用2!E114)</f>
        <v>-152.0611897</v>
      </c>
      <c r="F115" s="110" t="s">
        <v>585</v>
      </c>
      <c r="G115" s="106"/>
      <c r="H115" s="106"/>
      <c r="I115" s="70">
        <f t="shared" ref="I115" si="22">15*L109</f>
        <v>15</v>
      </c>
      <c r="J115" s="3"/>
      <c r="K115" s="3"/>
      <c r="L115" s="3"/>
      <c r="M115" s="3"/>
    </row>
    <row r="116" spans="1:13" x14ac:dyDescent="0.45">
      <c r="A116" s="105" t="s">
        <v>10</v>
      </c>
      <c r="B116" s="106"/>
      <c r="C116" s="106"/>
      <c r="D116" s="106"/>
      <c r="E116" s="67">
        <f>IF(真実の家賃!$L$1=TRUE,計算用1!E115,計算用2!E115)</f>
        <v>0</v>
      </c>
      <c r="F116" s="109" t="s">
        <v>586</v>
      </c>
      <c r="G116" s="108"/>
      <c r="H116" s="108"/>
      <c r="I116" s="71">
        <f t="shared" ref="I116" si="23">I115</f>
        <v>15</v>
      </c>
      <c r="J116" s="3"/>
      <c r="K116" s="3"/>
      <c r="L116" s="3"/>
      <c r="M116" s="3"/>
    </row>
    <row r="117" spans="1:13" ht="18.600000000000001" thickBot="1" x14ac:dyDescent="0.5">
      <c r="A117" s="113" t="s">
        <v>582</v>
      </c>
      <c r="B117" s="112"/>
      <c r="C117" s="112"/>
      <c r="D117" s="112"/>
      <c r="E117" s="68">
        <f t="shared" ref="E117" si="24">E113+E114+E115+E116</f>
        <v>700.95161029999997</v>
      </c>
      <c r="F117" s="103" t="s">
        <v>587</v>
      </c>
      <c r="G117" s="104"/>
      <c r="H117" s="104"/>
      <c r="I117" s="66">
        <f t="shared" ref="I117" si="25">I111+I114+I116</f>
        <v>815</v>
      </c>
      <c r="J117" s="3"/>
      <c r="K117" s="3"/>
      <c r="L117" s="3"/>
      <c r="M117" s="3"/>
    </row>
    <row r="118" spans="1:13" x14ac:dyDescent="0.45">
      <c r="A118" s="105" t="s">
        <v>12</v>
      </c>
      <c r="B118" s="106"/>
      <c r="C118" s="106"/>
      <c r="D118" s="106"/>
      <c r="E118" s="67">
        <f>IF(真実の家賃!$L$1=TRUE,計算用1!E117,計算用2!E117)</f>
        <v>3360.3669</v>
      </c>
      <c r="F118" s="3"/>
      <c r="G118" s="3"/>
      <c r="H118" s="3"/>
      <c r="I118" s="3"/>
      <c r="J118" s="3"/>
      <c r="K118" s="3"/>
      <c r="L118" s="3"/>
      <c r="M118" s="3"/>
    </row>
    <row r="119" spans="1:13" x14ac:dyDescent="0.45">
      <c r="A119" s="105" t="s">
        <v>584</v>
      </c>
      <c r="B119" s="106"/>
      <c r="C119" s="106"/>
      <c r="D119" s="106"/>
      <c r="E119" s="67">
        <f>IF(真実の家賃!$L$1=TRUE,計算用1!E118,計算用2!E118)</f>
        <v>172.46666666666673</v>
      </c>
      <c r="F119" s="3"/>
      <c r="G119" s="3"/>
      <c r="H119" s="3"/>
      <c r="I119" s="3"/>
      <c r="J119" s="3"/>
      <c r="K119" s="3"/>
      <c r="L119" s="3"/>
      <c r="M119" s="3"/>
    </row>
    <row r="120" spans="1:13" x14ac:dyDescent="0.45">
      <c r="A120" s="105" t="s">
        <v>585</v>
      </c>
      <c r="B120" s="106"/>
      <c r="C120" s="106"/>
      <c r="D120" s="106"/>
      <c r="E120" s="67">
        <f>$T$8</f>
        <v>15</v>
      </c>
      <c r="F120" s="3"/>
      <c r="G120" s="3"/>
      <c r="H120" s="3"/>
      <c r="I120" s="3"/>
      <c r="J120" s="3"/>
      <c r="K120" s="3"/>
      <c r="L120" s="3"/>
      <c r="M120" s="3"/>
    </row>
    <row r="121" spans="1:13" x14ac:dyDescent="0.45">
      <c r="A121" s="107" t="s">
        <v>586</v>
      </c>
      <c r="B121" s="108"/>
      <c r="C121" s="108"/>
      <c r="D121" s="108"/>
      <c r="E121" s="68">
        <f t="shared" ref="E121" si="26">SUM(E118:E120)</f>
        <v>3547.8335666666667</v>
      </c>
      <c r="F121" s="3"/>
      <c r="G121" s="3"/>
      <c r="H121" s="3"/>
      <c r="I121" s="3"/>
      <c r="J121" s="3"/>
      <c r="K121" s="3"/>
      <c r="L121" s="3"/>
      <c r="M121" s="3"/>
    </row>
    <row r="122" spans="1:13" ht="18.600000000000001" thickBot="1" x14ac:dyDescent="0.5">
      <c r="A122" s="101" t="s">
        <v>587</v>
      </c>
      <c r="B122" s="102"/>
      <c r="C122" s="102"/>
      <c r="D122" s="102"/>
      <c r="E122" s="69">
        <f t="shared" ref="E122" si="27">E112+E117+E121</f>
        <v>4487.5851769666669</v>
      </c>
      <c r="F122" s="3"/>
      <c r="G122" s="3"/>
      <c r="H122" s="3"/>
      <c r="I122" s="3"/>
      <c r="J122" s="3"/>
      <c r="K122" s="3"/>
      <c r="L122" s="3"/>
      <c r="M122" s="3"/>
    </row>
    <row r="123" spans="1:13" x14ac:dyDescent="0.4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4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4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4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4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8.600000000000001" thickBot="1" x14ac:dyDescent="0.5">
      <c r="A128" s="10" t="s">
        <v>588</v>
      </c>
      <c r="B128" s="61"/>
      <c r="C128" s="61"/>
      <c r="D128" s="61"/>
      <c r="E128" s="61"/>
      <c r="F128" s="61"/>
      <c r="G128" s="61"/>
      <c r="H128" s="100" t="s">
        <v>1</v>
      </c>
      <c r="I128" s="100"/>
      <c r="J128" s="3"/>
      <c r="K128" s="3"/>
      <c r="L128" s="3"/>
      <c r="M128" s="3"/>
    </row>
    <row r="129" spans="1:13" x14ac:dyDescent="0.45">
      <c r="A129" s="117" t="s">
        <v>576</v>
      </c>
      <c r="B129" s="118"/>
      <c r="C129" s="118"/>
      <c r="D129" s="118"/>
      <c r="E129" s="119"/>
      <c r="F129" s="120" t="s">
        <v>577</v>
      </c>
      <c r="G129" s="121"/>
      <c r="H129" s="121"/>
      <c r="I129" s="122"/>
      <c r="J129" s="3"/>
      <c r="K129" s="44" t="s">
        <v>590</v>
      </c>
      <c r="L129" s="39">
        <f>損益分岐点!$M$2</f>
        <v>10</v>
      </c>
      <c r="M129" s="3" t="s">
        <v>465</v>
      </c>
    </row>
    <row r="130" spans="1:13" x14ac:dyDescent="0.45">
      <c r="A130" s="123" t="s">
        <v>578</v>
      </c>
      <c r="B130" s="124"/>
      <c r="C130" s="124"/>
      <c r="D130" s="124"/>
      <c r="E130" s="65" t="s">
        <v>0</v>
      </c>
      <c r="F130" s="125" t="s">
        <v>578</v>
      </c>
      <c r="G130" s="124"/>
      <c r="H130" s="124"/>
      <c r="I130" s="65" t="s">
        <v>0</v>
      </c>
      <c r="J130" s="3"/>
      <c r="K130" s="58" t="s">
        <v>589</v>
      </c>
      <c r="L130" s="74">
        <f>$T$3</f>
        <v>1</v>
      </c>
      <c r="M130" s="3" t="s">
        <v>594</v>
      </c>
    </row>
    <row r="131" spans="1:13" ht="18.600000000000001" thickBot="1" x14ac:dyDescent="0.5">
      <c r="A131" s="116" t="s">
        <v>3</v>
      </c>
      <c r="B131" s="115"/>
      <c r="C131" s="115"/>
      <c r="D131" s="115"/>
      <c r="E131" s="67">
        <f>IF(真実の家賃!$L$1=TRUE,計算用1!E130,計算用2!E130)</f>
        <v>0</v>
      </c>
      <c r="F131" s="114" t="s">
        <v>7</v>
      </c>
      <c r="G131" s="115"/>
      <c r="H131" s="115"/>
      <c r="I131" s="70">
        <f t="shared" ref="I131" si="28">L129*5*L130</f>
        <v>50</v>
      </c>
      <c r="J131" s="3"/>
      <c r="K131" s="73" t="s">
        <v>628</v>
      </c>
      <c r="L131" s="72">
        <v>7</v>
      </c>
      <c r="M131" s="3" t="s">
        <v>468</v>
      </c>
    </row>
    <row r="132" spans="1:13" x14ac:dyDescent="0.45">
      <c r="A132" s="116" t="s">
        <v>6</v>
      </c>
      <c r="B132" s="115"/>
      <c r="C132" s="115"/>
      <c r="D132" s="115"/>
      <c r="E132" s="67">
        <f>IF(真実の家賃!$L$1=TRUE,計算用1!E131,計算用2!E131)</f>
        <v>238.79999999999998</v>
      </c>
      <c r="F132" s="111" t="s">
        <v>579</v>
      </c>
      <c r="G132" s="112"/>
      <c r="H132" s="112"/>
      <c r="I132" s="71">
        <f t="shared" ref="I132" si="29">I131</f>
        <v>50</v>
      </c>
      <c r="J132" s="3"/>
      <c r="K132" s="3"/>
      <c r="L132" s="3"/>
      <c r="M132" s="3"/>
    </row>
    <row r="133" spans="1:13" x14ac:dyDescent="0.45">
      <c r="A133" s="113" t="s">
        <v>579</v>
      </c>
      <c r="B133" s="112"/>
      <c r="C133" s="112"/>
      <c r="D133" s="112"/>
      <c r="E133" s="68">
        <f t="shared" ref="E133" si="30">SUM(E131:E132)</f>
        <v>238.79999999999998</v>
      </c>
      <c r="F133" s="114" t="s">
        <v>583</v>
      </c>
      <c r="G133" s="115"/>
      <c r="H133" s="115"/>
      <c r="I133" s="70">
        <f t="shared" ref="I133" si="31">L131*12*L129</f>
        <v>840</v>
      </c>
      <c r="J133" s="3"/>
      <c r="K133" s="3"/>
      <c r="L133" s="3"/>
      <c r="M133" s="3"/>
    </row>
    <row r="134" spans="1:13" x14ac:dyDescent="0.45">
      <c r="A134" s="116" t="s">
        <v>580</v>
      </c>
      <c r="B134" s="115"/>
      <c r="C134" s="115"/>
      <c r="D134" s="115"/>
      <c r="E134" s="67">
        <f>IF(真実の家賃!$L$1=TRUE,計算用1!E133,計算用2!E133)</f>
        <v>890.1816</v>
      </c>
      <c r="F134" s="114" t="s">
        <v>596</v>
      </c>
      <c r="G134" s="115"/>
      <c r="H134" s="115"/>
      <c r="I134" s="70">
        <f>_xlfn.SWITCH(L131,1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30</v>
      </c>
      <c r="J134" s="3"/>
      <c r="K134" s="3"/>
      <c r="L134" s="3"/>
      <c r="M134" s="3"/>
    </row>
    <row r="135" spans="1:13" x14ac:dyDescent="0.45">
      <c r="A135" s="105" t="s">
        <v>581</v>
      </c>
      <c r="B135" s="106"/>
      <c r="C135" s="106"/>
      <c r="D135" s="106"/>
      <c r="E135" s="67">
        <f>IF(真実の家賃!$L$1=TRUE,計算用1!E134,計算用2!E134)</f>
        <v>105</v>
      </c>
      <c r="F135" s="111" t="s">
        <v>582</v>
      </c>
      <c r="G135" s="112"/>
      <c r="H135" s="112"/>
      <c r="I135" s="71">
        <f t="shared" ref="I135" si="32">SUM(I133:I134)</f>
        <v>870</v>
      </c>
      <c r="J135" s="3"/>
      <c r="K135" s="3"/>
      <c r="L135" s="3"/>
      <c r="M135" s="3"/>
    </row>
    <row r="136" spans="1:13" x14ac:dyDescent="0.45">
      <c r="A136" s="116" t="s">
        <v>9</v>
      </c>
      <c r="B136" s="115"/>
      <c r="C136" s="115"/>
      <c r="D136" s="115"/>
      <c r="E136" s="67">
        <f>IF(真実の家賃!$L$1=TRUE,計算用1!E135,計算用2!E135)</f>
        <v>-174.84426819999999</v>
      </c>
      <c r="F136" s="110" t="s">
        <v>585</v>
      </c>
      <c r="G136" s="106"/>
      <c r="H136" s="106"/>
      <c r="I136" s="70">
        <f t="shared" ref="I136" si="33">15*L130</f>
        <v>15</v>
      </c>
      <c r="J136" s="3"/>
      <c r="K136" s="3"/>
      <c r="L136" s="3"/>
      <c r="M136" s="3"/>
    </row>
    <row r="137" spans="1:13" x14ac:dyDescent="0.45">
      <c r="A137" s="105" t="s">
        <v>10</v>
      </c>
      <c r="B137" s="106"/>
      <c r="C137" s="106"/>
      <c r="D137" s="106"/>
      <c r="E137" s="67">
        <f>IF(真実の家賃!$L$1=TRUE,計算用1!E136,計算用2!E136)</f>
        <v>0</v>
      </c>
      <c r="F137" s="109" t="s">
        <v>586</v>
      </c>
      <c r="G137" s="108"/>
      <c r="H137" s="108"/>
      <c r="I137" s="71">
        <f t="shared" ref="I137" si="34">I136</f>
        <v>15</v>
      </c>
      <c r="J137" s="3"/>
      <c r="K137" s="3"/>
      <c r="L137" s="3"/>
      <c r="M137" s="3"/>
    </row>
    <row r="138" spans="1:13" ht="18.600000000000001" thickBot="1" x14ac:dyDescent="0.5">
      <c r="A138" s="113" t="s">
        <v>582</v>
      </c>
      <c r="B138" s="112"/>
      <c r="C138" s="112"/>
      <c r="D138" s="112"/>
      <c r="E138" s="68">
        <f t="shared" ref="E138" si="35">E134+E135+E136+E137</f>
        <v>820.33733180000002</v>
      </c>
      <c r="F138" s="103" t="s">
        <v>587</v>
      </c>
      <c r="G138" s="104"/>
      <c r="H138" s="104"/>
      <c r="I138" s="66">
        <f t="shared" ref="I138" si="36">I132+I135+I137</f>
        <v>935</v>
      </c>
      <c r="J138" s="3"/>
      <c r="K138" s="3"/>
      <c r="L138" s="3"/>
      <c r="M138" s="3"/>
    </row>
    <row r="139" spans="1:13" x14ac:dyDescent="0.45">
      <c r="A139" s="105" t="s">
        <v>12</v>
      </c>
      <c r="B139" s="106"/>
      <c r="C139" s="106"/>
      <c r="D139" s="106"/>
      <c r="E139" s="67">
        <f>IF(真実の家賃!$L$1=TRUE,計算用1!E138,計算用2!E138)</f>
        <v>3254.7255</v>
      </c>
      <c r="F139" s="3"/>
      <c r="G139" s="3"/>
      <c r="H139" s="3"/>
      <c r="I139" s="3"/>
      <c r="J139" s="3"/>
      <c r="K139" s="3"/>
      <c r="L139" s="3"/>
      <c r="M139" s="3"/>
    </row>
    <row r="140" spans="1:13" x14ac:dyDescent="0.45">
      <c r="A140" s="105" t="s">
        <v>584</v>
      </c>
      <c r="B140" s="106"/>
      <c r="C140" s="106"/>
      <c r="D140" s="106"/>
      <c r="E140" s="67">
        <f>IF(真実の家賃!$L$1=TRUE,計算用1!E139,計算用2!E139)</f>
        <v>167.16000000000008</v>
      </c>
      <c r="F140" s="3"/>
      <c r="G140" s="3"/>
      <c r="H140" s="3"/>
      <c r="I140" s="3"/>
      <c r="J140" s="3"/>
      <c r="K140" s="3"/>
      <c r="L140" s="3"/>
      <c r="M140" s="3"/>
    </row>
    <row r="141" spans="1:13" x14ac:dyDescent="0.45">
      <c r="A141" s="105" t="s">
        <v>585</v>
      </c>
      <c r="B141" s="106"/>
      <c r="C141" s="106"/>
      <c r="D141" s="106"/>
      <c r="E141" s="67">
        <f>$T$8</f>
        <v>15</v>
      </c>
      <c r="F141" s="3"/>
      <c r="G141" s="3"/>
      <c r="H141" s="3"/>
      <c r="I141" s="3"/>
      <c r="J141" s="3"/>
      <c r="K141" s="3"/>
      <c r="L141" s="3"/>
      <c r="M141" s="3"/>
    </row>
    <row r="142" spans="1:13" x14ac:dyDescent="0.45">
      <c r="A142" s="107" t="s">
        <v>586</v>
      </c>
      <c r="B142" s="108"/>
      <c r="C142" s="108"/>
      <c r="D142" s="108"/>
      <c r="E142" s="68">
        <f t="shared" ref="E142" si="37">SUM(E139:E141)</f>
        <v>3436.8855000000003</v>
      </c>
      <c r="F142" s="3"/>
      <c r="G142" s="3"/>
      <c r="H142" s="3"/>
      <c r="I142" s="3"/>
      <c r="J142" s="3"/>
      <c r="K142" s="3"/>
      <c r="L142" s="3"/>
      <c r="M142" s="3"/>
    </row>
    <row r="143" spans="1:13" ht="18.600000000000001" thickBot="1" x14ac:dyDescent="0.5">
      <c r="A143" s="101" t="s">
        <v>587</v>
      </c>
      <c r="B143" s="102"/>
      <c r="C143" s="102"/>
      <c r="D143" s="102"/>
      <c r="E143" s="69">
        <f t="shared" ref="E143" si="38">E133+E138+E142</f>
        <v>4496.0228318000009</v>
      </c>
      <c r="F143" s="3"/>
      <c r="G143" s="3"/>
      <c r="H143" s="3"/>
      <c r="I143" s="3"/>
      <c r="J143" s="3"/>
      <c r="K143" s="3"/>
      <c r="L143" s="3"/>
      <c r="M143" s="3"/>
    </row>
    <row r="144" spans="1:13" x14ac:dyDescent="0.4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4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4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4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8.600000000000001" thickBot="1" x14ac:dyDescent="0.5">
      <c r="A149" s="10" t="s">
        <v>588</v>
      </c>
      <c r="B149" s="61"/>
      <c r="C149" s="61"/>
      <c r="D149" s="61"/>
      <c r="E149" s="61"/>
      <c r="F149" s="61"/>
      <c r="G149" s="61"/>
      <c r="H149" s="100" t="s">
        <v>1</v>
      </c>
      <c r="I149" s="100"/>
      <c r="J149" s="3"/>
      <c r="K149" s="3"/>
      <c r="L149" s="3"/>
      <c r="M149" s="3"/>
    </row>
    <row r="150" spans="1:13" x14ac:dyDescent="0.45">
      <c r="A150" s="117" t="s">
        <v>576</v>
      </c>
      <c r="B150" s="118"/>
      <c r="C150" s="118"/>
      <c r="D150" s="118"/>
      <c r="E150" s="119"/>
      <c r="F150" s="120" t="s">
        <v>577</v>
      </c>
      <c r="G150" s="121"/>
      <c r="H150" s="121"/>
      <c r="I150" s="122"/>
      <c r="J150" s="3"/>
      <c r="K150" s="44" t="s">
        <v>590</v>
      </c>
      <c r="L150" s="39">
        <f>損益分岐点!$M$2</f>
        <v>10</v>
      </c>
      <c r="M150" s="3" t="s">
        <v>465</v>
      </c>
    </row>
    <row r="151" spans="1:13" x14ac:dyDescent="0.45">
      <c r="A151" s="123" t="s">
        <v>578</v>
      </c>
      <c r="B151" s="124"/>
      <c r="C151" s="124"/>
      <c r="D151" s="124"/>
      <c r="E151" s="65" t="s">
        <v>0</v>
      </c>
      <c r="F151" s="125" t="s">
        <v>578</v>
      </c>
      <c r="G151" s="124"/>
      <c r="H151" s="124"/>
      <c r="I151" s="65" t="s">
        <v>0</v>
      </c>
      <c r="J151" s="3"/>
      <c r="K151" s="58" t="s">
        <v>589</v>
      </c>
      <c r="L151" s="74">
        <f>$T$3</f>
        <v>1</v>
      </c>
      <c r="M151" s="3" t="s">
        <v>594</v>
      </c>
    </row>
    <row r="152" spans="1:13" ht="18.600000000000001" thickBot="1" x14ac:dyDescent="0.5">
      <c r="A152" s="116" t="s">
        <v>3</v>
      </c>
      <c r="B152" s="115"/>
      <c r="C152" s="115"/>
      <c r="D152" s="115"/>
      <c r="E152" s="67">
        <f>IF(真実の家賃!$L$1=TRUE,計算用1!E151,計算用2!E151)</f>
        <v>0</v>
      </c>
      <c r="F152" s="114" t="s">
        <v>7</v>
      </c>
      <c r="G152" s="115"/>
      <c r="H152" s="115"/>
      <c r="I152" s="70">
        <f t="shared" ref="I152" si="39">L150*5*L151</f>
        <v>50</v>
      </c>
      <c r="J152" s="3"/>
      <c r="K152" s="73" t="s">
        <v>628</v>
      </c>
      <c r="L152" s="72">
        <v>8</v>
      </c>
      <c r="M152" s="3" t="s">
        <v>468</v>
      </c>
    </row>
    <row r="153" spans="1:13" x14ac:dyDescent="0.45">
      <c r="A153" s="116" t="s">
        <v>6</v>
      </c>
      <c r="B153" s="115"/>
      <c r="C153" s="115"/>
      <c r="D153" s="115"/>
      <c r="E153" s="67">
        <f>IF(真実の家賃!$L$1=TRUE,計算用1!E152,計算用2!E152)</f>
        <v>238.79999999999998</v>
      </c>
      <c r="F153" s="111" t="s">
        <v>579</v>
      </c>
      <c r="G153" s="112"/>
      <c r="H153" s="112"/>
      <c r="I153" s="71">
        <f t="shared" ref="I153" si="40">I152</f>
        <v>50</v>
      </c>
      <c r="J153" s="3"/>
      <c r="K153" s="3"/>
      <c r="L153" s="3"/>
      <c r="M153" s="3"/>
    </row>
    <row r="154" spans="1:13" x14ac:dyDescent="0.45">
      <c r="A154" s="113" t="s">
        <v>579</v>
      </c>
      <c r="B154" s="112"/>
      <c r="C154" s="112"/>
      <c r="D154" s="112"/>
      <c r="E154" s="68">
        <f t="shared" ref="E154" si="41">SUM(E152:E153)</f>
        <v>238.79999999999998</v>
      </c>
      <c r="F154" s="114" t="s">
        <v>583</v>
      </c>
      <c r="G154" s="115"/>
      <c r="H154" s="115"/>
      <c r="I154" s="70">
        <f t="shared" ref="I154" si="42">L152*12*L150</f>
        <v>960</v>
      </c>
      <c r="J154" s="3"/>
      <c r="K154" s="3"/>
      <c r="L154" s="3"/>
      <c r="M154" s="3"/>
    </row>
    <row r="155" spans="1:13" x14ac:dyDescent="0.45">
      <c r="A155" s="116" t="s">
        <v>580</v>
      </c>
      <c r="B155" s="115"/>
      <c r="C155" s="115"/>
      <c r="D155" s="115"/>
      <c r="E155" s="67">
        <f>IF(真実の家賃!$L$1=TRUE,計算用1!E154,計算用2!E154)</f>
        <v>1017.3504</v>
      </c>
      <c r="F155" s="114" t="s">
        <v>596</v>
      </c>
      <c r="G155" s="115"/>
      <c r="H155" s="115"/>
      <c r="I155" s="70">
        <f>_xlfn.SWITCH(L152,1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40</v>
      </c>
      <c r="J155" s="3"/>
      <c r="K155" s="3"/>
      <c r="L155" s="3"/>
      <c r="M155" s="3"/>
    </row>
    <row r="156" spans="1:13" x14ac:dyDescent="0.45">
      <c r="A156" s="105" t="s">
        <v>581</v>
      </c>
      <c r="B156" s="106"/>
      <c r="C156" s="106"/>
      <c r="D156" s="106"/>
      <c r="E156" s="67">
        <f>IF(真実の家賃!$L$1=TRUE,計算用1!E155,計算用2!E155)</f>
        <v>120</v>
      </c>
      <c r="F156" s="111" t="s">
        <v>582</v>
      </c>
      <c r="G156" s="112"/>
      <c r="H156" s="112"/>
      <c r="I156" s="71">
        <f t="shared" ref="I156" si="43">SUM(I154:I155)</f>
        <v>1000</v>
      </c>
      <c r="J156" s="3"/>
      <c r="K156" s="3"/>
      <c r="L156" s="3"/>
      <c r="M156" s="3"/>
    </row>
    <row r="157" spans="1:13" x14ac:dyDescent="0.45">
      <c r="A157" s="116" t="s">
        <v>9</v>
      </c>
      <c r="B157" s="115"/>
      <c r="C157" s="115"/>
      <c r="D157" s="115"/>
      <c r="E157" s="67">
        <f>IF(真実の家賃!$L$1=TRUE,計算用1!E156,計算用2!E156)</f>
        <v>-196.88303739999998</v>
      </c>
      <c r="F157" s="110" t="s">
        <v>585</v>
      </c>
      <c r="G157" s="106"/>
      <c r="H157" s="106"/>
      <c r="I157" s="70">
        <f t="shared" ref="I157" si="44">15*L151</f>
        <v>15</v>
      </c>
      <c r="J157" s="3"/>
      <c r="K157" s="3"/>
      <c r="L157" s="3"/>
      <c r="M157" s="3"/>
    </row>
    <row r="158" spans="1:13" x14ac:dyDescent="0.45">
      <c r="A158" s="105" t="s">
        <v>10</v>
      </c>
      <c r="B158" s="106"/>
      <c r="C158" s="106"/>
      <c r="D158" s="106"/>
      <c r="E158" s="67">
        <f>IF(真実の家賃!$L$1=TRUE,計算用1!E157,計算用2!E157)</f>
        <v>0</v>
      </c>
      <c r="F158" s="109" t="s">
        <v>586</v>
      </c>
      <c r="G158" s="108"/>
      <c r="H158" s="108"/>
      <c r="I158" s="71">
        <f t="shared" ref="I158" si="45">I157</f>
        <v>15</v>
      </c>
      <c r="J158" s="3"/>
      <c r="K158" s="3"/>
      <c r="L158" s="3"/>
      <c r="M158" s="3"/>
    </row>
    <row r="159" spans="1:13" ht="18.600000000000001" thickBot="1" x14ac:dyDescent="0.5">
      <c r="A159" s="113" t="s">
        <v>582</v>
      </c>
      <c r="B159" s="112"/>
      <c r="C159" s="112"/>
      <c r="D159" s="112"/>
      <c r="E159" s="68">
        <f t="shared" ref="E159" si="46">E155+E156+E157+E158</f>
        <v>940.46736260000011</v>
      </c>
      <c r="F159" s="103" t="s">
        <v>587</v>
      </c>
      <c r="G159" s="104"/>
      <c r="H159" s="104"/>
      <c r="I159" s="66">
        <f t="shared" ref="I159" si="47">I153+I156+I158</f>
        <v>1065</v>
      </c>
      <c r="J159" s="3"/>
      <c r="K159" s="3"/>
      <c r="L159" s="3"/>
      <c r="M159" s="3"/>
    </row>
    <row r="160" spans="1:13" x14ac:dyDescent="0.45">
      <c r="A160" s="105" t="s">
        <v>12</v>
      </c>
      <c r="B160" s="106"/>
      <c r="C160" s="106"/>
      <c r="D160" s="106"/>
      <c r="E160" s="67">
        <f>IF(真実の家賃!$L$1=TRUE,計算用1!E159,計算用2!E159)</f>
        <v>3148.3955999999998</v>
      </c>
      <c r="F160" s="3"/>
      <c r="G160" s="3"/>
      <c r="H160" s="3"/>
      <c r="I160" s="3"/>
      <c r="J160" s="3"/>
      <c r="K160" s="3"/>
      <c r="L160" s="3"/>
      <c r="M160" s="3"/>
    </row>
    <row r="161" spans="1:13" x14ac:dyDescent="0.45">
      <c r="A161" s="105" t="s">
        <v>584</v>
      </c>
      <c r="B161" s="106"/>
      <c r="C161" s="106"/>
      <c r="D161" s="106"/>
      <c r="E161" s="67">
        <f>IF(真実の家賃!$L$1=TRUE,計算用1!E160,計算用2!E160)</f>
        <v>161.85333333333341</v>
      </c>
      <c r="F161" s="3"/>
      <c r="G161" s="3"/>
      <c r="H161" s="3"/>
      <c r="I161" s="3"/>
      <c r="J161" s="3"/>
      <c r="K161" s="3"/>
      <c r="L161" s="3"/>
      <c r="M161" s="3"/>
    </row>
    <row r="162" spans="1:13" x14ac:dyDescent="0.45">
      <c r="A162" s="105" t="s">
        <v>585</v>
      </c>
      <c r="B162" s="106"/>
      <c r="C162" s="106"/>
      <c r="D162" s="106"/>
      <c r="E162" s="67">
        <f>$T$8</f>
        <v>15</v>
      </c>
      <c r="F162" s="3"/>
      <c r="G162" s="3"/>
      <c r="H162" s="3"/>
      <c r="I162" s="3"/>
      <c r="J162" s="3"/>
      <c r="K162" s="3"/>
      <c r="L162" s="3"/>
      <c r="M162" s="3"/>
    </row>
    <row r="163" spans="1:13" x14ac:dyDescent="0.45">
      <c r="A163" s="107" t="s">
        <v>586</v>
      </c>
      <c r="B163" s="108"/>
      <c r="C163" s="108"/>
      <c r="D163" s="108"/>
      <c r="E163" s="68">
        <f t="shared" ref="E163" si="48">SUM(E160:E162)</f>
        <v>3325.2489333333333</v>
      </c>
      <c r="F163" s="3"/>
      <c r="G163" s="3"/>
      <c r="H163" s="3"/>
      <c r="I163" s="3"/>
      <c r="J163" s="3"/>
      <c r="K163" s="3"/>
      <c r="L163" s="3"/>
      <c r="M163" s="3"/>
    </row>
    <row r="164" spans="1:13" ht="18.600000000000001" thickBot="1" x14ac:dyDescent="0.5">
      <c r="A164" s="101" t="s">
        <v>587</v>
      </c>
      <c r="B164" s="102"/>
      <c r="C164" s="102"/>
      <c r="D164" s="102"/>
      <c r="E164" s="69">
        <f t="shared" ref="E164" si="49">E154+E159+E163</f>
        <v>4504.5162959333338</v>
      </c>
      <c r="F164" s="3"/>
      <c r="G164" s="3"/>
      <c r="H164" s="3"/>
      <c r="I164" s="3"/>
      <c r="J164" s="3"/>
      <c r="K164" s="3"/>
      <c r="L164" s="3"/>
      <c r="M164" s="3"/>
    </row>
    <row r="165" spans="1:13" x14ac:dyDescent="0.4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4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4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4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4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8.600000000000001" thickBot="1" x14ac:dyDescent="0.5">
      <c r="A170" s="10" t="s">
        <v>588</v>
      </c>
      <c r="B170" s="61"/>
      <c r="C170" s="61"/>
      <c r="D170" s="61"/>
      <c r="E170" s="61"/>
      <c r="F170" s="61"/>
      <c r="G170" s="61"/>
      <c r="H170" s="100" t="s">
        <v>1</v>
      </c>
      <c r="I170" s="100"/>
      <c r="J170" s="3"/>
      <c r="K170" s="3"/>
      <c r="L170" s="3"/>
      <c r="M170" s="3"/>
    </row>
    <row r="171" spans="1:13" x14ac:dyDescent="0.45">
      <c r="A171" s="117" t="s">
        <v>576</v>
      </c>
      <c r="B171" s="118"/>
      <c r="C171" s="118"/>
      <c r="D171" s="118"/>
      <c r="E171" s="119"/>
      <c r="F171" s="120" t="s">
        <v>577</v>
      </c>
      <c r="G171" s="121"/>
      <c r="H171" s="121"/>
      <c r="I171" s="122"/>
      <c r="J171" s="3"/>
      <c r="K171" s="44" t="s">
        <v>590</v>
      </c>
      <c r="L171" s="39">
        <f>損益分岐点!$M$2</f>
        <v>10</v>
      </c>
      <c r="M171" s="3" t="s">
        <v>465</v>
      </c>
    </row>
    <row r="172" spans="1:13" x14ac:dyDescent="0.45">
      <c r="A172" s="123" t="s">
        <v>578</v>
      </c>
      <c r="B172" s="124"/>
      <c r="C172" s="124"/>
      <c r="D172" s="124"/>
      <c r="E172" s="65" t="s">
        <v>0</v>
      </c>
      <c r="F172" s="125" t="s">
        <v>578</v>
      </c>
      <c r="G172" s="124"/>
      <c r="H172" s="124"/>
      <c r="I172" s="65" t="s">
        <v>0</v>
      </c>
      <c r="J172" s="3"/>
      <c r="K172" s="58" t="s">
        <v>589</v>
      </c>
      <c r="L172" s="74">
        <f>$T$3</f>
        <v>1</v>
      </c>
      <c r="M172" s="3" t="s">
        <v>594</v>
      </c>
    </row>
    <row r="173" spans="1:13" ht="18.600000000000001" thickBot="1" x14ac:dyDescent="0.5">
      <c r="A173" s="116" t="s">
        <v>3</v>
      </c>
      <c r="B173" s="115"/>
      <c r="C173" s="115"/>
      <c r="D173" s="115"/>
      <c r="E173" s="67">
        <f>IF(真実の家賃!$L$1=TRUE,計算用1!E172,計算用2!E172)</f>
        <v>0</v>
      </c>
      <c r="F173" s="114" t="s">
        <v>7</v>
      </c>
      <c r="G173" s="115"/>
      <c r="H173" s="115"/>
      <c r="I173" s="70">
        <f t="shared" ref="I173" si="50">L171*5*L172</f>
        <v>50</v>
      </c>
      <c r="J173" s="3"/>
      <c r="K173" s="73" t="s">
        <v>628</v>
      </c>
      <c r="L173" s="72">
        <v>9</v>
      </c>
      <c r="M173" s="3" t="s">
        <v>468</v>
      </c>
    </row>
    <row r="174" spans="1:13" x14ac:dyDescent="0.45">
      <c r="A174" s="116" t="s">
        <v>6</v>
      </c>
      <c r="B174" s="115"/>
      <c r="C174" s="115"/>
      <c r="D174" s="115"/>
      <c r="E174" s="67">
        <f>IF(真実の家賃!$L$1=TRUE,計算用1!E173,計算用2!E173)</f>
        <v>238.79999999999998</v>
      </c>
      <c r="F174" s="111" t="s">
        <v>579</v>
      </c>
      <c r="G174" s="112"/>
      <c r="H174" s="112"/>
      <c r="I174" s="71">
        <f t="shared" ref="I174" si="51">I173</f>
        <v>50</v>
      </c>
      <c r="J174" s="3"/>
      <c r="K174" s="3"/>
      <c r="L174" s="3"/>
      <c r="M174" s="3"/>
    </row>
    <row r="175" spans="1:13" x14ac:dyDescent="0.45">
      <c r="A175" s="113" t="s">
        <v>579</v>
      </c>
      <c r="B175" s="112"/>
      <c r="C175" s="112"/>
      <c r="D175" s="112"/>
      <c r="E175" s="68">
        <f t="shared" ref="E175" si="52">SUM(E173:E174)</f>
        <v>238.79999999999998</v>
      </c>
      <c r="F175" s="114" t="s">
        <v>583</v>
      </c>
      <c r="G175" s="115"/>
      <c r="H175" s="115"/>
      <c r="I175" s="70">
        <f t="shared" ref="I175" si="53">L173*12*L171</f>
        <v>1080</v>
      </c>
      <c r="J175" s="3"/>
      <c r="K175" s="3"/>
      <c r="L175" s="3"/>
      <c r="M175" s="3"/>
    </row>
    <row r="176" spans="1:13" x14ac:dyDescent="0.45">
      <c r="A176" s="116" t="s">
        <v>580</v>
      </c>
      <c r="B176" s="115"/>
      <c r="C176" s="115"/>
      <c r="D176" s="115"/>
      <c r="E176" s="67">
        <f>IF(真実の家賃!$L$1=TRUE,計算用1!E175,計算用2!E175)</f>
        <v>1144.5192</v>
      </c>
      <c r="F176" s="114" t="s">
        <v>596</v>
      </c>
      <c r="G176" s="115"/>
      <c r="H176" s="115"/>
      <c r="I176" s="70">
        <f>_xlfn.SWITCH(L173,1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40</v>
      </c>
      <c r="J176" s="3"/>
      <c r="K176" s="3"/>
      <c r="L176" s="3"/>
      <c r="M176" s="3"/>
    </row>
    <row r="177" spans="1:13" x14ac:dyDescent="0.45">
      <c r="A177" s="105" t="s">
        <v>581</v>
      </c>
      <c r="B177" s="106"/>
      <c r="C177" s="106"/>
      <c r="D177" s="106"/>
      <c r="E177" s="67">
        <f>IF(真実の家賃!$L$1=TRUE,計算用1!E176,計算用2!E176)</f>
        <v>135</v>
      </c>
      <c r="F177" s="111" t="s">
        <v>582</v>
      </c>
      <c r="G177" s="112"/>
      <c r="H177" s="112"/>
      <c r="I177" s="71">
        <f t="shared" ref="I177" si="54">SUM(I175:I176)</f>
        <v>1120</v>
      </c>
      <c r="J177" s="3"/>
      <c r="K177" s="3"/>
      <c r="L177" s="3"/>
      <c r="M177" s="3"/>
    </row>
    <row r="178" spans="1:13" x14ac:dyDescent="0.45">
      <c r="A178" s="116" t="s">
        <v>9</v>
      </c>
      <c r="B178" s="115"/>
      <c r="C178" s="115"/>
      <c r="D178" s="115"/>
      <c r="E178" s="67">
        <f>IF(真実の家賃!$L$1=TRUE,計算用1!E177,計算用2!E177)</f>
        <v>-218.17264279999998</v>
      </c>
      <c r="F178" s="110" t="s">
        <v>585</v>
      </c>
      <c r="G178" s="106"/>
      <c r="H178" s="106"/>
      <c r="I178" s="70">
        <f t="shared" ref="I178" si="55">15*L172</f>
        <v>15</v>
      </c>
      <c r="J178" s="3"/>
      <c r="K178" s="3"/>
      <c r="L178" s="3"/>
      <c r="M178" s="3"/>
    </row>
    <row r="179" spans="1:13" x14ac:dyDescent="0.45">
      <c r="A179" s="105" t="s">
        <v>10</v>
      </c>
      <c r="B179" s="106"/>
      <c r="C179" s="106"/>
      <c r="D179" s="106"/>
      <c r="E179" s="67">
        <f>IF(真実の家賃!$L$1=TRUE,計算用1!E178,計算用2!E178)</f>
        <v>0</v>
      </c>
      <c r="F179" s="109" t="s">
        <v>586</v>
      </c>
      <c r="G179" s="108"/>
      <c r="H179" s="108"/>
      <c r="I179" s="71">
        <f t="shared" ref="I179" si="56">I178</f>
        <v>15</v>
      </c>
      <c r="J179" s="3"/>
      <c r="K179" s="3"/>
      <c r="L179" s="3"/>
      <c r="M179" s="3"/>
    </row>
    <row r="180" spans="1:13" ht="18.600000000000001" thickBot="1" x14ac:dyDescent="0.5">
      <c r="A180" s="113" t="s">
        <v>582</v>
      </c>
      <c r="B180" s="112"/>
      <c r="C180" s="112"/>
      <c r="D180" s="112"/>
      <c r="E180" s="68">
        <f t="shared" ref="E180" si="57">E176+E177+E178+E179</f>
        <v>1061.3465572</v>
      </c>
      <c r="F180" s="103" t="s">
        <v>587</v>
      </c>
      <c r="G180" s="104"/>
      <c r="H180" s="104"/>
      <c r="I180" s="66">
        <f t="shared" ref="I180" si="58">I174+I177+I179</f>
        <v>1185</v>
      </c>
      <c r="J180" s="3"/>
      <c r="K180" s="3"/>
      <c r="L180" s="3"/>
      <c r="M180" s="3"/>
    </row>
    <row r="181" spans="1:13" x14ac:dyDescent="0.45">
      <c r="A181" s="105" t="s">
        <v>12</v>
      </c>
      <c r="B181" s="106"/>
      <c r="C181" s="106"/>
      <c r="D181" s="106"/>
      <c r="E181" s="67">
        <f>IF(真実の家賃!$L$1=TRUE,計算用1!E180,計算用2!E180)</f>
        <v>3041.3721999999998</v>
      </c>
      <c r="F181" s="3"/>
      <c r="G181" s="3"/>
      <c r="H181" s="3"/>
      <c r="I181" s="3"/>
      <c r="J181" s="3"/>
      <c r="K181" s="3"/>
      <c r="L181" s="3"/>
      <c r="M181" s="3"/>
    </row>
    <row r="182" spans="1:13" x14ac:dyDescent="0.45">
      <c r="A182" s="105" t="s">
        <v>584</v>
      </c>
      <c r="B182" s="106"/>
      <c r="C182" s="106"/>
      <c r="D182" s="106"/>
      <c r="E182" s="67">
        <f>IF(真実の家賃!$L$1=TRUE,計算用1!E181,計算用2!E181)</f>
        <v>156.54666666666674</v>
      </c>
      <c r="F182" s="3"/>
      <c r="G182" s="3"/>
      <c r="H182" s="3"/>
      <c r="I182" s="3"/>
      <c r="J182" s="3"/>
      <c r="K182" s="3"/>
      <c r="L182" s="3"/>
      <c r="M182" s="3"/>
    </row>
    <row r="183" spans="1:13" x14ac:dyDescent="0.45">
      <c r="A183" s="105" t="s">
        <v>585</v>
      </c>
      <c r="B183" s="106"/>
      <c r="C183" s="106"/>
      <c r="D183" s="106"/>
      <c r="E183" s="67">
        <f>$T$8</f>
        <v>15</v>
      </c>
      <c r="F183" s="3"/>
      <c r="G183" s="3"/>
      <c r="H183" s="3"/>
      <c r="I183" s="3"/>
      <c r="J183" s="3"/>
      <c r="K183" s="3"/>
      <c r="L183" s="3"/>
      <c r="M183" s="3"/>
    </row>
    <row r="184" spans="1:13" x14ac:dyDescent="0.45">
      <c r="A184" s="107" t="s">
        <v>586</v>
      </c>
      <c r="B184" s="108"/>
      <c r="C184" s="108"/>
      <c r="D184" s="108"/>
      <c r="E184" s="68">
        <f t="shared" ref="E184" si="59">SUM(E181:E183)</f>
        <v>3212.9188666666664</v>
      </c>
      <c r="F184" s="3"/>
      <c r="G184" s="3"/>
      <c r="H184" s="3"/>
      <c r="I184" s="3"/>
      <c r="J184" s="3"/>
      <c r="K184" s="3"/>
      <c r="L184" s="3"/>
      <c r="M184" s="3"/>
    </row>
    <row r="185" spans="1:13" ht="18.600000000000001" thickBot="1" x14ac:dyDescent="0.5">
      <c r="A185" s="101" t="s">
        <v>587</v>
      </c>
      <c r="B185" s="102"/>
      <c r="C185" s="102"/>
      <c r="D185" s="102"/>
      <c r="E185" s="69">
        <f t="shared" ref="E185" si="60">E175+E180+E184</f>
        <v>4513.0654238666666</v>
      </c>
      <c r="F185" s="3"/>
      <c r="G185" s="3"/>
      <c r="H185" s="3"/>
      <c r="I185" s="3"/>
      <c r="J185" s="3"/>
      <c r="K185" s="3"/>
      <c r="L185" s="3"/>
      <c r="M185" s="3"/>
    </row>
    <row r="186" spans="1:13" x14ac:dyDescent="0.4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4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4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4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4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8.600000000000001" thickBot="1" x14ac:dyDescent="0.5">
      <c r="A191" s="10" t="s">
        <v>588</v>
      </c>
      <c r="B191" s="61"/>
      <c r="C191" s="61"/>
      <c r="D191" s="61"/>
      <c r="E191" s="61"/>
      <c r="F191" s="61"/>
      <c r="G191" s="61"/>
      <c r="H191" s="100" t="s">
        <v>1</v>
      </c>
      <c r="I191" s="100"/>
      <c r="J191" s="3"/>
      <c r="K191" s="3"/>
      <c r="L191" s="3"/>
      <c r="M191" s="3"/>
    </row>
    <row r="192" spans="1:13" x14ac:dyDescent="0.45">
      <c r="A192" s="117" t="s">
        <v>576</v>
      </c>
      <c r="B192" s="118"/>
      <c r="C192" s="118"/>
      <c r="D192" s="118"/>
      <c r="E192" s="119"/>
      <c r="F192" s="120" t="s">
        <v>577</v>
      </c>
      <c r="G192" s="121"/>
      <c r="H192" s="121"/>
      <c r="I192" s="122"/>
      <c r="J192" s="3"/>
      <c r="K192" s="44" t="s">
        <v>590</v>
      </c>
      <c r="L192" s="39">
        <f>損益分岐点!$M$2</f>
        <v>10</v>
      </c>
      <c r="M192" s="3" t="s">
        <v>465</v>
      </c>
    </row>
    <row r="193" spans="1:13" x14ac:dyDescent="0.45">
      <c r="A193" s="123" t="s">
        <v>578</v>
      </c>
      <c r="B193" s="124"/>
      <c r="C193" s="124"/>
      <c r="D193" s="124"/>
      <c r="E193" s="65" t="s">
        <v>0</v>
      </c>
      <c r="F193" s="125" t="s">
        <v>578</v>
      </c>
      <c r="G193" s="124"/>
      <c r="H193" s="124"/>
      <c r="I193" s="65" t="s">
        <v>0</v>
      </c>
      <c r="J193" s="3"/>
      <c r="K193" s="58" t="s">
        <v>589</v>
      </c>
      <c r="L193" s="74">
        <f>$T$3</f>
        <v>1</v>
      </c>
      <c r="M193" s="3" t="s">
        <v>594</v>
      </c>
    </row>
    <row r="194" spans="1:13" ht="18.600000000000001" thickBot="1" x14ac:dyDescent="0.5">
      <c r="A194" s="116" t="s">
        <v>3</v>
      </c>
      <c r="B194" s="115"/>
      <c r="C194" s="115"/>
      <c r="D194" s="115"/>
      <c r="E194" s="67">
        <f>IF(真実の家賃!$L$1=TRUE,計算用1!E193,計算用2!E193)</f>
        <v>0</v>
      </c>
      <c r="F194" s="114" t="s">
        <v>7</v>
      </c>
      <c r="G194" s="115"/>
      <c r="H194" s="115"/>
      <c r="I194" s="70">
        <f t="shared" ref="I194" si="61">L192*5*L193</f>
        <v>50</v>
      </c>
      <c r="J194" s="3"/>
      <c r="K194" s="73" t="s">
        <v>628</v>
      </c>
      <c r="L194" s="72">
        <v>10</v>
      </c>
      <c r="M194" s="3" t="s">
        <v>468</v>
      </c>
    </row>
    <row r="195" spans="1:13" x14ac:dyDescent="0.45">
      <c r="A195" s="116" t="s">
        <v>6</v>
      </c>
      <c r="B195" s="115"/>
      <c r="C195" s="115"/>
      <c r="D195" s="115"/>
      <c r="E195" s="67">
        <f>IF(真実の家賃!$L$1=TRUE,計算用1!E194,計算用2!E194)</f>
        <v>238.79999999999998</v>
      </c>
      <c r="F195" s="111" t="s">
        <v>579</v>
      </c>
      <c r="G195" s="112"/>
      <c r="H195" s="112"/>
      <c r="I195" s="71">
        <f t="shared" ref="I195" si="62">I194</f>
        <v>50</v>
      </c>
      <c r="J195" s="3"/>
      <c r="K195" s="3"/>
      <c r="L195" s="3"/>
      <c r="M195" s="3"/>
    </row>
    <row r="196" spans="1:13" x14ac:dyDescent="0.45">
      <c r="A196" s="113" t="s">
        <v>579</v>
      </c>
      <c r="B196" s="112"/>
      <c r="C196" s="112"/>
      <c r="D196" s="112"/>
      <c r="E196" s="68">
        <f t="shared" ref="E196" si="63">SUM(E194:E195)</f>
        <v>238.79999999999998</v>
      </c>
      <c r="F196" s="114" t="s">
        <v>583</v>
      </c>
      <c r="G196" s="115"/>
      <c r="H196" s="115"/>
      <c r="I196" s="70">
        <f t="shared" ref="I196" si="64">L194*12*L192</f>
        <v>1200</v>
      </c>
      <c r="J196" s="3"/>
      <c r="K196" s="3"/>
      <c r="L196" s="3"/>
      <c r="M196" s="3"/>
    </row>
    <row r="197" spans="1:13" x14ac:dyDescent="0.45">
      <c r="A197" s="116" t="s">
        <v>580</v>
      </c>
      <c r="B197" s="115"/>
      <c r="C197" s="115"/>
      <c r="D197" s="115"/>
      <c r="E197" s="67">
        <f>IF(真実の家賃!$L$1=TRUE,計算用1!E196,計算用2!E196)</f>
        <v>1271.6880000000001</v>
      </c>
      <c r="F197" s="114" t="s">
        <v>596</v>
      </c>
      <c r="G197" s="115"/>
      <c r="H197" s="115"/>
      <c r="I197" s="70">
        <f>_xlfn.SWITCH(L194,1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50</v>
      </c>
      <c r="J197" s="3"/>
      <c r="K197" s="3"/>
      <c r="L197" s="3"/>
      <c r="M197" s="3"/>
    </row>
    <row r="198" spans="1:13" x14ac:dyDescent="0.45">
      <c r="A198" s="105" t="s">
        <v>581</v>
      </c>
      <c r="B198" s="106"/>
      <c r="C198" s="106"/>
      <c r="D198" s="106"/>
      <c r="E198" s="67">
        <f>IF(真実の家賃!$L$1=TRUE,計算用1!E197,計算用2!E197)</f>
        <v>150</v>
      </c>
      <c r="F198" s="111" t="s">
        <v>582</v>
      </c>
      <c r="G198" s="112"/>
      <c r="H198" s="112"/>
      <c r="I198" s="71">
        <f t="shared" ref="I198" si="65">SUM(I196:I197)</f>
        <v>1250</v>
      </c>
      <c r="J198" s="3"/>
      <c r="K198" s="3"/>
      <c r="L198" s="3"/>
      <c r="M198" s="3"/>
    </row>
    <row r="199" spans="1:13" x14ac:dyDescent="0.45">
      <c r="A199" s="116" t="s">
        <v>9</v>
      </c>
      <c r="B199" s="115"/>
      <c r="C199" s="115"/>
      <c r="D199" s="115"/>
      <c r="E199" s="67">
        <f>IF(真実の家賃!$L$1=TRUE,計算用1!E198,計算用2!E198)</f>
        <v>-238.70820189999998</v>
      </c>
      <c r="F199" s="110" t="s">
        <v>585</v>
      </c>
      <c r="G199" s="106"/>
      <c r="H199" s="106"/>
      <c r="I199" s="70">
        <f t="shared" ref="I199" si="66">15*L193</f>
        <v>15</v>
      </c>
      <c r="J199" s="3"/>
      <c r="K199" s="3"/>
      <c r="L199" s="3"/>
      <c r="M199" s="3"/>
    </row>
    <row r="200" spans="1:13" x14ac:dyDescent="0.45">
      <c r="A200" s="105" t="s">
        <v>10</v>
      </c>
      <c r="B200" s="106"/>
      <c r="C200" s="106"/>
      <c r="D200" s="106"/>
      <c r="E200" s="67">
        <f>IF(真実の家賃!$L$1=TRUE,計算用1!E199,計算用2!E199)</f>
        <v>0</v>
      </c>
      <c r="F200" s="109" t="s">
        <v>586</v>
      </c>
      <c r="G200" s="108"/>
      <c r="H200" s="108"/>
      <c r="I200" s="71">
        <f t="shared" ref="I200" si="67">I199</f>
        <v>15</v>
      </c>
      <c r="J200" s="3"/>
      <c r="K200" s="3"/>
      <c r="L200" s="3"/>
      <c r="M200" s="3"/>
    </row>
    <row r="201" spans="1:13" ht="18.600000000000001" thickBot="1" x14ac:dyDescent="0.5">
      <c r="A201" s="113" t="s">
        <v>582</v>
      </c>
      <c r="B201" s="112"/>
      <c r="C201" s="112"/>
      <c r="D201" s="112"/>
      <c r="E201" s="68">
        <f t="shared" ref="E201" si="68">E197+E198+E199+E200</f>
        <v>1182.9797981000002</v>
      </c>
      <c r="F201" s="103" t="s">
        <v>587</v>
      </c>
      <c r="G201" s="104"/>
      <c r="H201" s="104"/>
      <c r="I201" s="66">
        <f t="shared" ref="I201" si="69">I195+I198+I200</f>
        <v>1315</v>
      </c>
      <c r="J201" s="3"/>
      <c r="K201" s="3"/>
      <c r="L201" s="3"/>
      <c r="M201" s="3"/>
    </row>
    <row r="202" spans="1:13" x14ac:dyDescent="0.45">
      <c r="A202" s="105" t="s">
        <v>12</v>
      </c>
      <c r="B202" s="106"/>
      <c r="C202" s="106"/>
      <c r="D202" s="106"/>
      <c r="E202" s="67">
        <f>IF(真実の家賃!$L$1=TRUE,計算用1!E201,計算用2!E201)</f>
        <v>2933.6513</v>
      </c>
      <c r="F202" s="3"/>
      <c r="G202" s="3"/>
      <c r="H202" s="3"/>
      <c r="I202" s="3"/>
      <c r="J202" s="3"/>
      <c r="K202" s="3"/>
      <c r="L202" s="3"/>
      <c r="M202" s="3"/>
    </row>
    <row r="203" spans="1:13" x14ac:dyDescent="0.45">
      <c r="A203" s="105" t="s">
        <v>584</v>
      </c>
      <c r="B203" s="106"/>
      <c r="C203" s="106"/>
      <c r="D203" s="106"/>
      <c r="E203" s="67">
        <f>IF(真実の家賃!$L$1=TRUE,計算用1!E202,計算用2!E202)</f>
        <v>151.24</v>
      </c>
      <c r="F203" s="3"/>
      <c r="G203" s="3"/>
      <c r="H203" s="3"/>
      <c r="I203" s="3"/>
      <c r="J203" s="3"/>
      <c r="K203" s="3"/>
      <c r="L203" s="3"/>
      <c r="M203" s="3"/>
    </row>
    <row r="204" spans="1:13" x14ac:dyDescent="0.45">
      <c r="A204" s="105" t="s">
        <v>585</v>
      </c>
      <c r="B204" s="106"/>
      <c r="C204" s="106"/>
      <c r="D204" s="106"/>
      <c r="E204" s="67">
        <f>$T$8</f>
        <v>15</v>
      </c>
      <c r="F204" s="3"/>
      <c r="G204" s="3"/>
      <c r="H204" s="3"/>
      <c r="I204" s="3"/>
      <c r="J204" s="3"/>
      <c r="K204" s="3"/>
      <c r="L204" s="3"/>
      <c r="M204" s="3"/>
    </row>
    <row r="205" spans="1:13" x14ac:dyDescent="0.45">
      <c r="A205" s="107" t="s">
        <v>586</v>
      </c>
      <c r="B205" s="108"/>
      <c r="C205" s="108"/>
      <c r="D205" s="108"/>
      <c r="E205" s="68">
        <f t="shared" ref="E205" si="70">SUM(E202:E204)</f>
        <v>3099.8913000000002</v>
      </c>
      <c r="F205" s="3"/>
      <c r="G205" s="3"/>
      <c r="H205" s="3"/>
      <c r="I205" s="3"/>
      <c r="J205" s="3"/>
      <c r="K205" s="3"/>
      <c r="L205" s="3"/>
      <c r="M205" s="3"/>
    </row>
    <row r="206" spans="1:13" ht="18.600000000000001" thickBot="1" x14ac:dyDescent="0.5">
      <c r="A206" s="101" t="s">
        <v>587</v>
      </c>
      <c r="B206" s="102"/>
      <c r="C206" s="102"/>
      <c r="D206" s="102"/>
      <c r="E206" s="69">
        <f t="shared" ref="E206" si="71">E196+E201+E205</f>
        <v>4521.6710981000006</v>
      </c>
      <c r="F206" s="3"/>
      <c r="G206" s="3"/>
      <c r="H206" s="3"/>
      <c r="I206" s="3"/>
      <c r="J206" s="3"/>
      <c r="K206" s="3"/>
      <c r="L206" s="3"/>
      <c r="M206" s="3"/>
    </row>
    <row r="207" spans="1:13" x14ac:dyDescent="0.4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4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4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4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4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8.600000000000001" thickBot="1" x14ac:dyDescent="0.5">
      <c r="A212" s="10" t="s">
        <v>588</v>
      </c>
      <c r="B212" s="61"/>
      <c r="C212" s="61"/>
      <c r="D212" s="61"/>
      <c r="E212" s="61"/>
      <c r="F212" s="61"/>
      <c r="G212" s="61"/>
      <c r="H212" s="100" t="s">
        <v>1</v>
      </c>
      <c r="I212" s="100"/>
      <c r="J212" s="3"/>
      <c r="K212" s="3"/>
      <c r="L212" s="3"/>
      <c r="M212" s="3"/>
    </row>
    <row r="213" spans="1:13" x14ac:dyDescent="0.45">
      <c r="A213" s="117" t="s">
        <v>576</v>
      </c>
      <c r="B213" s="118"/>
      <c r="C213" s="118"/>
      <c r="D213" s="118"/>
      <c r="E213" s="119"/>
      <c r="F213" s="120" t="s">
        <v>577</v>
      </c>
      <c r="G213" s="121"/>
      <c r="H213" s="121"/>
      <c r="I213" s="122"/>
      <c r="J213" s="3"/>
      <c r="K213" s="44" t="s">
        <v>590</v>
      </c>
      <c r="L213" s="39">
        <f>損益分岐点!$M$2</f>
        <v>10</v>
      </c>
      <c r="M213" s="3" t="s">
        <v>465</v>
      </c>
    </row>
    <row r="214" spans="1:13" x14ac:dyDescent="0.45">
      <c r="A214" s="123" t="s">
        <v>578</v>
      </c>
      <c r="B214" s="124"/>
      <c r="C214" s="124"/>
      <c r="D214" s="124"/>
      <c r="E214" s="65" t="s">
        <v>0</v>
      </c>
      <c r="F214" s="125" t="s">
        <v>578</v>
      </c>
      <c r="G214" s="124"/>
      <c r="H214" s="124"/>
      <c r="I214" s="65" t="s">
        <v>0</v>
      </c>
      <c r="J214" s="3"/>
      <c r="K214" s="58" t="s">
        <v>589</v>
      </c>
      <c r="L214" s="74">
        <f>$T$3</f>
        <v>1</v>
      </c>
      <c r="M214" s="3" t="s">
        <v>594</v>
      </c>
    </row>
    <row r="215" spans="1:13" ht="18.600000000000001" thickBot="1" x14ac:dyDescent="0.5">
      <c r="A215" s="116" t="s">
        <v>3</v>
      </c>
      <c r="B215" s="115"/>
      <c r="C215" s="115"/>
      <c r="D215" s="115"/>
      <c r="E215" s="67">
        <f>IF(真実の家賃!$L$1=TRUE,計算用1!E214,計算用2!E214)</f>
        <v>0</v>
      </c>
      <c r="F215" s="114" t="s">
        <v>629</v>
      </c>
      <c r="G215" s="115"/>
      <c r="H215" s="115"/>
      <c r="I215" s="70">
        <f t="shared" ref="I215" si="72">L213*5*L214</f>
        <v>50</v>
      </c>
      <c r="J215" s="3"/>
      <c r="K215" s="73" t="s">
        <v>628</v>
      </c>
      <c r="L215" s="72">
        <v>11</v>
      </c>
      <c r="M215" s="3" t="s">
        <v>468</v>
      </c>
    </row>
    <row r="216" spans="1:13" x14ac:dyDescent="0.45">
      <c r="A216" s="116" t="s">
        <v>6</v>
      </c>
      <c r="B216" s="115"/>
      <c r="C216" s="115"/>
      <c r="D216" s="115"/>
      <c r="E216" s="67">
        <f>IF(真実の家賃!$L$1=TRUE,計算用1!E215,計算用2!E215)</f>
        <v>238.79999999999998</v>
      </c>
      <c r="F216" s="111" t="s">
        <v>579</v>
      </c>
      <c r="G216" s="112"/>
      <c r="H216" s="112"/>
      <c r="I216" s="71">
        <f t="shared" ref="I216" si="73">I215</f>
        <v>50</v>
      </c>
      <c r="J216" s="3"/>
      <c r="K216" s="3"/>
      <c r="L216" s="3"/>
      <c r="M216" s="3"/>
    </row>
    <row r="217" spans="1:13" x14ac:dyDescent="0.45">
      <c r="A217" s="113" t="s">
        <v>579</v>
      </c>
      <c r="B217" s="112"/>
      <c r="C217" s="112"/>
      <c r="D217" s="112"/>
      <c r="E217" s="68">
        <f t="shared" ref="E217" si="74">SUM(E215:E216)</f>
        <v>238.79999999999998</v>
      </c>
      <c r="F217" s="114" t="s">
        <v>583</v>
      </c>
      <c r="G217" s="115"/>
      <c r="H217" s="115"/>
      <c r="I217" s="70">
        <f t="shared" ref="I217" si="75">L215*12*L213</f>
        <v>1320</v>
      </c>
      <c r="J217" s="3"/>
      <c r="K217" s="3"/>
      <c r="L217" s="3"/>
      <c r="M217" s="3"/>
    </row>
    <row r="218" spans="1:13" x14ac:dyDescent="0.45">
      <c r="A218" s="116" t="s">
        <v>580</v>
      </c>
      <c r="B218" s="115"/>
      <c r="C218" s="115"/>
      <c r="D218" s="115"/>
      <c r="E218" s="67">
        <f>IF(真実の家賃!$L$1=TRUE,計算用1!E217,計算用2!E217)</f>
        <v>1398.8568</v>
      </c>
      <c r="F218" s="114" t="s">
        <v>596</v>
      </c>
      <c r="G218" s="115"/>
      <c r="H218" s="115"/>
      <c r="I218" s="70">
        <f>_xlfn.SWITCH(L215,1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50</v>
      </c>
      <c r="J218" s="3"/>
      <c r="K218" s="3"/>
      <c r="L218" s="3"/>
      <c r="M218" s="3"/>
    </row>
    <row r="219" spans="1:13" x14ac:dyDescent="0.45">
      <c r="A219" s="105" t="s">
        <v>581</v>
      </c>
      <c r="B219" s="106"/>
      <c r="C219" s="106"/>
      <c r="D219" s="106"/>
      <c r="E219" s="67">
        <f>IF(真実の家賃!$L$1=TRUE,計算用1!E218,計算用2!E218)</f>
        <v>165</v>
      </c>
      <c r="F219" s="111" t="s">
        <v>582</v>
      </c>
      <c r="G219" s="112"/>
      <c r="H219" s="112"/>
      <c r="I219" s="71">
        <f t="shared" ref="I219" si="76">SUM(I217:I218)</f>
        <v>1370</v>
      </c>
      <c r="J219" s="3"/>
      <c r="K219" s="3"/>
      <c r="L219" s="3"/>
      <c r="M219" s="3"/>
    </row>
    <row r="220" spans="1:13" x14ac:dyDescent="0.45">
      <c r="A220" s="116" t="s">
        <v>9</v>
      </c>
      <c r="B220" s="115"/>
      <c r="C220" s="115"/>
      <c r="D220" s="115"/>
      <c r="E220" s="67">
        <f>IF(真実の家賃!$L$1=TRUE,計算用1!E219,計算用2!E219)</f>
        <v>-258.48479789999999</v>
      </c>
      <c r="F220" s="110" t="s">
        <v>585</v>
      </c>
      <c r="G220" s="106"/>
      <c r="H220" s="106"/>
      <c r="I220" s="70">
        <f t="shared" ref="I220" si="77">15*L214</f>
        <v>15</v>
      </c>
      <c r="J220" s="3"/>
      <c r="K220" s="3"/>
      <c r="L220" s="3"/>
      <c r="M220" s="3"/>
    </row>
    <row r="221" spans="1:13" x14ac:dyDescent="0.45">
      <c r="A221" s="105" t="s">
        <v>10</v>
      </c>
      <c r="B221" s="106"/>
      <c r="C221" s="106"/>
      <c r="D221" s="106"/>
      <c r="E221" s="67">
        <f>IF(真実の家賃!$L$1=TRUE,計算用1!E220,計算用2!E220)</f>
        <v>0</v>
      </c>
      <c r="F221" s="109" t="s">
        <v>586</v>
      </c>
      <c r="G221" s="108"/>
      <c r="H221" s="108"/>
      <c r="I221" s="71">
        <f t="shared" ref="I221" si="78">I220</f>
        <v>15</v>
      </c>
      <c r="J221" s="3"/>
      <c r="K221" s="3"/>
      <c r="L221" s="3"/>
      <c r="M221" s="3"/>
    </row>
    <row r="222" spans="1:13" ht="18.600000000000001" thickBot="1" x14ac:dyDescent="0.5">
      <c r="A222" s="113" t="s">
        <v>582</v>
      </c>
      <c r="B222" s="112"/>
      <c r="C222" s="112"/>
      <c r="D222" s="112"/>
      <c r="E222" s="68">
        <f t="shared" ref="E222" si="79">E218+E219+E220+E221</f>
        <v>1305.3720020999999</v>
      </c>
      <c r="F222" s="103" t="s">
        <v>587</v>
      </c>
      <c r="G222" s="104"/>
      <c r="H222" s="104"/>
      <c r="I222" s="66">
        <f t="shared" ref="I222" si="80">I216+I219+I221</f>
        <v>1435</v>
      </c>
      <c r="J222" s="3"/>
      <c r="K222" s="3"/>
      <c r="L222" s="3"/>
      <c r="M222" s="3"/>
    </row>
    <row r="223" spans="1:13" x14ac:dyDescent="0.45">
      <c r="A223" s="105" t="s">
        <v>12</v>
      </c>
      <c r="B223" s="106"/>
      <c r="C223" s="106"/>
      <c r="D223" s="106"/>
      <c r="E223" s="67">
        <f>IF(真実の家賃!$L$1=TRUE,計算用1!E222,計算用2!E222)</f>
        <v>2825.2280000000001</v>
      </c>
      <c r="F223" s="3"/>
      <c r="G223" s="3"/>
      <c r="H223" s="3"/>
      <c r="I223" s="3"/>
      <c r="J223" s="3"/>
      <c r="K223" s="3"/>
      <c r="L223" s="3"/>
      <c r="M223" s="3"/>
    </row>
    <row r="224" spans="1:13" x14ac:dyDescent="0.45">
      <c r="A224" s="105" t="s">
        <v>584</v>
      </c>
      <c r="B224" s="106"/>
      <c r="C224" s="106"/>
      <c r="D224" s="106"/>
      <c r="E224" s="67">
        <f>IF(真実の家賃!$L$1=TRUE,計算用1!E223,計算用2!E223)</f>
        <v>148.36555555555557</v>
      </c>
      <c r="F224" s="3"/>
      <c r="G224" s="3"/>
      <c r="H224" s="3"/>
      <c r="I224" s="3"/>
      <c r="J224" s="3"/>
      <c r="K224" s="3"/>
      <c r="L224" s="3"/>
      <c r="M224" s="3"/>
    </row>
    <row r="225" spans="1:13" x14ac:dyDescent="0.45">
      <c r="A225" s="105" t="s">
        <v>585</v>
      </c>
      <c r="B225" s="106"/>
      <c r="C225" s="106"/>
      <c r="D225" s="106"/>
      <c r="E225" s="67">
        <f>$T$8</f>
        <v>15</v>
      </c>
      <c r="F225" s="3"/>
      <c r="G225" s="3"/>
      <c r="H225" s="3"/>
      <c r="I225" s="3"/>
      <c r="J225" s="3"/>
      <c r="K225" s="3"/>
      <c r="L225" s="3"/>
      <c r="M225" s="3"/>
    </row>
    <row r="226" spans="1:13" x14ac:dyDescent="0.45">
      <c r="A226" s="107" t="s">
        <v>586</v>
      </c>
      <c r="B226" s="108"/>
      <c r="C226" s="108"/>
      <c r="D226" s="108"/>
      <c r="E226" s="68">
        <f t="shared" ref="E226" si="81">SUM(E223:E225)</f>
        <v>2988.5935555555557</v>
      </c>
      <c r="F226" s="3"/>
      <c r="G226" s="3"/>
      <c r="H226" s="3"/>
      <c r="I226" s="3"/>
      <c r="J226" s="3"/>
      <c r="K226" s="3"/>
      <c r="L226" s="3"/>
      <c r="M226" s="3"/>
    </row>
    <row r="227" spans="1:13" ht="18.600000000000001" thickBot="1" x14ac:dyDescent="0.5">
      <c r="A227" s="101" t="s">
        <v>587</v>
      </c>
      <c r="B227" s="102"/>
      <c r="C227" s="102"/>
      <c r="D227" s="102"/>
      <c r="E227" s="69">
        <f t="shared" ref="E227" si="82">E217+E222+E226</f>
        <v>4532.7655576555553</v>
      </c>
      <c r="F227" s="3"/>
      <c r="G227" s="3"/>
      <c r="H227" s="3"/>
      <c r="I227" s="3"/>
      <c r="J227" s="3"/>
      <c r="K227" s="3"/>
      <c r="L227" s="3"/>
      <c r="M227" s="3"/>
    </row>
    <row r="228" spans="1:13" x14ac:dyDescent="0.4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4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4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4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4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8.600000000000001" thickBot="1" x14ac:dyDescent="0.5">
      <c r="A233" s="10" t="s">
        <v>588</v>
      </c>
      <c r="B233" s="61"/>
      <c r="C233" s="61"/>
      <c r="D233" s="61"/>
      <c r="E233" s="61"/>
      <c r="F233" s="61"/>
      <c r="G233" s="61"/>
      <c r="H233" s="100" t="s">
        <v>1</v>
      </c>
      <c r="I233" s="100"/>
      <c r="J233" s="3"/>
      <c r="K233" s="3"/>
      <c r="L233" s="3"/>
      <c r="M233" s="3"/>
    </row>
    <row r="234" spans="1:13" x14ac:dyDescent="0.45">
      <c r="A234" s="117" t="s">
        <v>576</v>
      </c>
      <c r="B234" s="118"/>
      <c r="C234" s="118"/>
      <c r="D234" s="118"/>
      <c r="E234" s="119"/>
      <c r="F234" s="120" t="s">
        <v>577</v>
      </c>
      <c r="G234" s="121"/>
      <c r="H234" s="121"/>
      <c r="I234" s="122"/>
      <c r="J234" s="3"/>
      <c r="K234" s="44" t="s">
        <v>590</v>
      </c>
      <c r="L234" s="39">
        <f>損益分岐点!$M$2</f>
        <v>10</v>
      </c>
      <c r="M234" s="3" t="s">
        <v>465</v>
      </c>
    </row>
    <row r="235" spans="1:13" x14ac:dyDescent="0.45">
      <c r="A235" s="123" t="s">
        <v>578</v>
      </c>
      <c r="B235" s="124"/>
      <c r="C235" s="124"/>
      <c r="D235" s="124"/>
      <c r="E235" s="65" t="s">
        <v>0</v>
      </c>
      <c r="F235" s="125" t="s">
        <v>578</v>
      </c>
      <c r="G235" s="124"/>
      <c r="H235" s="124"/>
      <c r="I235" s="65" t="s">
        <v>0</v>
      </c>
      <c r="J235" s="3"/>
      <c r="K235" s="58" t="s">
        <v>589</v>
      </c>
      <c r="L235" s="74">
        <f>$T$3</f>
        <v>1</v>
      </c>
      <c r="M235" s="3" t="s">
        <v>594</v>
      </c>
    </row>
    <row r="236" spans="1:13" ht="18.600000000000001" thickBot="1" x14ac:dyDescent="0.5">
      <c r="A236" s="116" t="s">
        <v>3</v>
      </c>
      <c r="B236" s="115"/>
      <c r="C236" s="115"/>
      <c r="D236" s="115"/>
      <c r="E236" s="67">
        <f>IF(真実の家賃!$L$1=TRUE,計算用1!E235,計算用2!E235)</f>
        <v>0</v>
      </c>
      <c r="F236" s="114" t="s">
        <v>7</v>
      </c>
      <c r="G236" s="115"/>
      <c r="H236" s="115"/>
      <c r="I236" s="70">
        <f t="shared" ref="I236" si="83">L234*5*L235</f>
        <v>50</v>
      </c>
      <c r="J236" s="3"/>
      <c r="K236" s="73" t="s">
        <v>628</v>
      </c>
      <c r="L236" s="72">
        <v>12</v>
      </c>
      <c r="M236" s="3" t="s">
        <v>468</v>
      </c>
    </row>
    <row r="237" spans="1:13" x14ac:dyDescent="0.45">
      <c r="A237" s="116" t="s">
        <v>6</v>
      </c>
      <c r="B237" s="115"/>
      <c r="C237" s="115"/>
      <c r="D237" s="115"/>
      <c r="E237" s="67">
        <f>IF(真実の家賃!$L$1=TRUE,計算用1!E236,計算用2!E236)</f>
        <v>238.79999999999998</v>
      </c>
      <c r="F237" s="111" t="s">
        <v>579</v>
      </c>
      <c r="G237" s="112"/>
      <c r="H237" s="112"/>
      <c r="I237" s="71">
        <f t="shared" ref="I237" si="84">I236</f>
        <v>50</v>
      </c>
      <c r="J237" s="3"/>
      <c r="K237" s="3"/>
      <c r="L237" s="3"/>
      <c r="M237" s="3"/>
    </row>
    <row r="238" spans="1:13" x14ac:dyDescent="0.45">
      <c r="A238" s="113" t="s">
        <v>579</v>
      </c>
      <c r="B238" s="112"/>
      <c r="C238" s="112"/>
      <c r="D238" s="112"/>
      <c r="E238" s="68">
        <f t="shared" ref="E238" si="85">SUM(E236:E237)</f>
        <v>238.79999999999998</v>
      </c>
      <c r="F238" s="114" t="s">
        <v>583</v>
      </c>
      <c r="G238" s="115"/>
      <c r="H238" s="115"/>
      <c r="I238" s="70">
        <f t="shared" ref="I238" si="86">L236*12*L234</f>
        <v>1440</v>
      </c>
      <c r="J238" s="3"/>
      <c r="K238" s="3"/>
      <c r="L238" s="3"/>
      <c r="M238" s="3"/>
    </row>
    <row r="239" spans="1:13" x14ac:dyDescent="0.45">
      <c r="A239" s="116" t="s">
        <v>580</v>
      </c>
      <c r="B239" s="115"/>
      <c r="C239" s="115"/>
      <c r="D239" s="115"/>
      <c r="E239" s="67">
        <f>IF(真実の家賃!$L$1=TRUE,計算用1!E238,計算用2!E238)</f>
        <v>1526.0255999999999</v>
      </c>
      <c r="F239" s="114" t="s">
        <v>596</v>
      </c>
      <c r="G239" s="115"/>
      <c r="H239" s="115"/>
      <c r="I239" s="70">
        <f>_xlfn.SWITCH(L236,1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60</v>
      </c>
      <c r="J239" s="3"/>
      <c r="K239" s="3"/>
      <c r="L239" s="3"/>
      <c r="M239" s="3"/>
    </row>
    <row r="240" spans="1:13" x14ac:dyDescent="0.45">
      <c r="A240" s="105" t="s">
        <v>581</v>
      </c>
      <c r="B240" s="106"/>
      <c r="C240" s="106"/>
      <c r="D240" s="106"/>
      <c r="E240" s="67">
        <f>IF(真実の家賃!$L$1=TRUE,計算用1!E239,計算用2!E239)</f>
        <v>180</v>
      </c>
      <c r="F240" s="111" t="s">
        <v>582</v>
      </c>
      <c r="G240" s="112"/>
      <c r="H240" s="112"/>
      <c r="I240" s="71">
        <f t="shared" ref="I240" si="87">SUM(I238:I239)</f>
        <v>1500</v>
      </c>
      <c r="J240" s="3"/>
      <c r="K240" s="3"/>
      <c r="L240" s="3"/>
      <c r="M240" s="3"/>
    </row>
    <row r="241" spans="1:13" x14ac:dyDescent="0.45">
      <c r="A241" s="116" t="s">
        <v>9</v>
      </c>
      <c r="B241" s="115"/>
      <c r="C241" s="115"/>
      <c r="D241" s="115"/>
      <c r="E241" s="67">
        <f>IF(真実の家賃!$L$1=TRUE,計算用1!E240,計算用2!E240)</f>
        <v>-277.49748249999999</v>
      </c>
      <c r="F241" s="110" t="s">
        <v>585</v>
      </c>
      <c r="G241" s="106"/>
      <c r="H241" s="106"/>
      <c r="I241" s="70">
        <f t="shared" ref="I241" si="88">15*L235</f>
        <v>15</v>
      </c>
      <c r="J241" s="3"/>
      <c r="K241" s="3"/>
      <c r="L241" s="3"/>
      <c r="M241" s="3"/>
    </row>
    <row r="242" spans="1:13" x14ac:dyDescent="0.45">
      <c r="A242" s="105" t="s">
        <v>10</v>
      </c>
      <c r="B242" s="106"/>
      <c r="C242" s="106"/>
      <c r="D242" s="106"/>
      <c r="E242" s="67">
        <f>IF(真実の家賃!$L$1=TRUE,計算用1!E241,計算用2!E241)</f>
        <v>0</v>
      </c>
      <c r="F242" s="109" t="s">
        <v>586</v>
      </c>
      <c r="G242" s="108"/>
      <c r="H242" s="108"/>
      <c r="I242" s="71">
        <f t="shared" ref="I242" si="89">I241</f>
        <v>15</v>
      </c>
      <c r="J242" s="3"/>
      <c r="K242" s="3"/>
      <c r="L242" s="3"/>
      <c r="M242" s="3"/>
    </row>
    <row r="243" spans="1:13" ht="18.600000000000001" thickBot="1" x14ac:dyDescent="0.5">
      <c r="A243" s="113" t="s">
        <v>582</v>
      </c>
      <c r="B243" s="112"/>
      <c r="C243" s="112"/>
      <c r="D243" s="112"/>
      <c r="E243" s="68">
        <f t="shared" ref="E243" si="90">E239+E240+E241+E242</f>
        <v>1428.5281175</v>
      </c>
      <c r="F243" s="103" t="s">
        <v>587</v>
      </c>
      <c r="G243" s="104"/>
      <c r="H243" s="104"/>
      <c r="I243" s="66">
        <f t="shared" ref="I243" si="91">I237+I240+I242</f>
        <v>1565</v>
      </c>
      <c r="J243" s="3"/>
      <c r="K243" s="3"/>
      <c r="L243" s="3"/>
      <c r="M243" s="3"/>
    </row>
    <row r="244" spans="1:13" x14ac:dyDescent="0.45">
      <c r="A244" s="105" t="s">
        <v>12</v>
      </c>
      <c r="B244" s="106"/>
      <c r="C244" s="106"/>
      <c r="D244" s="106"/>
      <c r="E244" s="67">
        <f>IF(真実の家賃!$L$1=TRUE,計算用1!E243,計算用2!E243)</f>
        <v>2716.0978</v>
      </c>
      <c r="F244" s="3"/>
      <c r="G244" s="3"/>
      <c r="H244" s="3"/>
      <c r="I244" s="3"/>
      <c r="J244" s="3"/>
      <c r="K244" s="3"/>
      <c r="L244" s="3"/>
      <c r="M244" s="3"/>
    </row>
    <row r="245" spans="1:13" x14ac:dyDescent="0.45">
      <c r="A245" s="105" t="s">
        <v>584</v>
      </c>
      <c r="B245" s="106"/>
      <c r="C245" s="106"/>
      <c r="D245" s="106"/>
      <c r="E245" s="67">
        <f>IF(真実の家賃!$L$1=TRUE,計算用1!E244,計算用2!E244)</f>
        <v>145.49111111111111</v>
      </c>
      <c r="F245" s="3"/>
      <c r="G245" s="3"/>
      <c r="H245" s="3"/>
      <c r="I245" s="3"/>
      <c r="J245" s="3"/>
      <c r="K245" s="3"/>
      <c r="L245" s="3"/>
      <c r="M245" s="3"/>
    </row>
    <row r="246" spans="1:13" x14ac:dyDescent="0.45">
      <c r="A246" s="105" t="s">
        <v>585</v>
      </c>
      <c r="B246" s="106"/>
      <c r="C246" s="106"/>
      <c r="D246" s="106"/>
      <c r="E246" s="67">
        <f>$T$8</f>
        <v>15</v>
      </c>
      <c r="F246" s="3"/>
      <c r="G246" s="3"/>
      <c r="H246" s="3"/>
      <c r="I246" s="3"/>
      <c r="J246" s="3"/>
      <c r="K246" s="3"/>
      <c r="L246" s="3"/>
      <c r="M246" s="3"/>
    </row>
    <row r="247" spans="1:13" x14ac:dyDescent="0.45">
      <c r="A247" s="107" t="s">
        <v>586</v>
      </c>
      <c r="B247" s="108"/>
      <c r="C247" s="108"/>
      <c r="D247" s="108"/>
      <c r="E247" s="68">
        <f t="shared" ref="E247" si="92">SUM(E244:E246)</f>
        <v>2876.588911111111</v>
      </c>
      <c r="F247" s="3"/>
      <c r="G247" s="3"/>
      <c r="H247" s="3"/>
      <c r="I247" s="3"/>
      <c r="J247" s="3"/>
      <c r="K247" s="3"/>
      <c r="L247" s="3"/>
      <c r="M247" s="3"/>
    </row>
    <row r="248" spans="1:13" ht="18.600000000000001" thickBot="1" x14ac:dyDescent="0.5">
      <c r="A248" s="101" t="s">
        <v>587</v>
      </c>
      <c r="B248" s="102"/>
      <c r="C248" s="102"/>
      <c r="D248" s="102"/>
      <c r="E248" s="69">
        <f t="shared" ref="E248" si="93">E238+E243+E247</f>
        <v>4543.9170286111112</v>
      </c>
      <c r="F248" s="3"/>
      <c r="G248" s="3"/>
      <c r="H248" s="3"/>
      <c r="I248" s="3"/>
      <c r="J248" s="3"/>
      <c r="K248" s="3"/>
      <c r="L248" s="3"/>
      <c r="M248" s="3"/>
    </row>
    <row r="249" spans="1:13" x14ac:dyDescent="0.4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4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4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4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4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8.600000000000001" thickBot="1" x14ac:dyDescent="0.5">
      <c r="A254" s="10" t="s">
        <v>588</v>
      </c>
      <c r="B254" s="61"/>
      <c r="C254" s="61"/>
      <c r="D254" s="61"/>
      <c r="E254" s="61"/>
      <c r="F254" s="61"/>
      <c r="G254" s="61"/>
      <c r="H254" s="100" t="s">
        <v>1</v>
      </c>
      <c r="I254" s="100"/>
      <c r="J254" s="3"/>
      <c r="K254" s="3"/>
      <c r="L254" s="3"/>
      <c r="M254" s="3"/>
    </row>
    <row r="255" spans="1:13" x14ac:dyDescent="0.45">
      <c r="A255" s="117" t="s">
        <v>576</v>
      </c>
      <c r="B255" s="118"/>
      <c r="C255" s="118"/>
      <c r="D255" s="118"/>
      <c r="E255" s="119"/>
      <c r="F255" s="120" t="s">
        <v>577</v>
      </c>
      <c r="G255" s="121"/>
      <c r="H255" s="121"/>
      <c r="I255" s="122"/>
      <c r="J255" s="3"/>
      <c r="K255" s="44" t="s">
        <v>590</v>
      </c>
      <c r="L255" s="39">
        <f>損益分岐点!$M$2</f>
        <v>10</v>
      </c>
      <c r="M255" s="3" t="s">
        <v>465</v>
      </c>
    </row>
    <row r="256" spans="1:13" x14ac:dyDescent="0.45">
      <c r="A256" s="123" t="s">
        <v>578</v>
      </c>
      <c r="B256" s="124"/>
      <c r="C256" s="124"/>
      <c r="D256" s="124"/>
      <c r="E256" s="65" t="s">
        <v>0</v>
      </c>
      <c r="F256" s="125" t="s">
        <v>578</v>
      </c>
      <c r="G256" s="124"/>
      <c r="H256" s="124"/>
      <c r="I256" s="65" t="s">
        <v>0</v>
      </c>
      <c r="J256" s="3"/>
      <c r="K256" s="58" t="s">
        <v>589</v>
      </c>
      <c r="L256" s="74">
        <f>$T$3</f>
        <v>1</v>
      </c>
      <c r="M256" s="3" t="s">
        <v>594</v>
      </c>
    </row>
    <row r="257" spans="1:13" ht="18.600000000000001" thickBot="1" x14ac:dyDescent="0.5">
      <c r="A257" s="116" t="s">
        <v>3</v>
      </c>
      <c r="B257" s="115"/>
      <c r="C257" s="115"/>
      <c r="D257" s="115"/>
      <c r="E257" s="67">
        <f>IF(真実の家賃!$L$1=TRUE,計算用1!E256,計算用2!E256)</f>
        <v>0</v>
      </c>
      <c r="F257" s="114" t="s">
        <v>7</v>
      </c>
      <c r="G257" s="115"/>
      <c r="H257" s="115"/>
      <c r="I257" s="70">
        <f t="shared" ref="I257" si="94">L255*5*L256</f>
        <v>50</v>
      </c>
      <c r="J257" s="3"/>
      <c r="K257" s="73" t="s">
        <v>628</v>
      </c>
      <c r="L257" s="72">
        <v>13</v>
      </c>
      <c r="M257" s="3" t="s">
        <v>468</v>
      </c>
    </row>
    <row r="258" spans="1:13" x14ac:dyDescent="0.45">
      <c r="A258" s="116" t="s">
        <v>6</v>
      </c>
      <c r="B258" s="115"/>
      <c r="C258" s="115"/>
      <c r="D258" s="115"/>
      <c r="E258" s="67">
        <f>IF(真実の家賃!$L$1=TRUE,計算用1!E257,計算用2!E257)</f>
        <v>238.79999999999998</v>
      </c>
      <c r="F258" s="111" t="s">
        <v>579</v>
      </c>
      <c r="G258" s="112"/>
      <c r="H258" s="112"/>
      <c r="I258" s="71">
        <f t="shared" ref="I258" si="95">I257</f>
        <v>50</v>
      </c>
      <c r="J258" s="3"/>
      <c r="K258" s="3"/>
      <c r="L258" s="3"/>
      <c r="M258" s="3"/>
    </row>
    <row r="259" spans="1:13" x14ac:dyDescent="0.45">
      <c r="A259" s="113" t="s">
        <v>579</v>
      </c>
      <c r="B259" s="112"/>
      <c r="C259" s="112"/>
      <c r="D259" s="112"/>
      <c r="E259" s="68">
        <f t="shared" ref="E259" si="96">SUM(E257:E258)</f>
        <v>238.79999999999998</v>
      </c>
      <c r="F259" s="114" t="s">
        <v>583</v>
      </c>
      <c r="G259" s="115"/>
      <c r="H259" s="115"/>
      <c r="I259" s="70">
        <f t="shared" ref="I259" si="97">L257*12*L255</f>
        <v>1560</v>
      </c>
      <c r="J259" s="3"/>
      <c r="K259" s="3"/>
      <c r="L259" s="3"/>
      <c r="M259" s="3"/>
    </row>
    <row r="260" spans="1:13" x14ac:dyDescent="0.45">
      <c r="A260" s="116" t="s">
        <v>580</v>
      </c>
      <c r="B260" s="115"/>
      <c r="C260" s="115"/>
      <c r="D260" s="115"/>
      <c r="E260" s="67">
        <f>IF(真実の家賃!$L$1=TRUE,計算用1!E259,計算用2!E259)</f>
        <v>1653.1944000000001</v>
      </c>
      <c r="F260" s="114" t="s">
        <v>596</v>
      </c>
      <c r="G260" s="115"/>
      <c r="H260" s="115"/>
      <c r="I260" s="70">
        <f>_xlfn.SWITCH(L257,1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60</v>
      </c>
      <c r="J260" s="3"/>
      <c r="K260" s="3"/>
      <c r="L260" s="3"/>
      <c r="M260" s="3"/>
    </row>
    <row r="261" spans="1:13" x14ac:dyDescent="0.45">
      <c r="A261" s="105" t="s">
        <v>581</v>
      </c>
      <c r="B261" s="106"/>
      <c r="C261" s="106"/>
      <c r="D261" s="106"/>
      <c r="E261" s="67">
        <f>IF(真実の家賃!$L$1=TRUE,計算用1!E260,計算用2!E260)</f>
        <v>195</v>
      </c>
      <c r="F261" s="111" t="s">
        <v>582</v>
      </c>
      <c r="G261" s="112"/>
      <c r="H261" s="112"/>
      <c r="I261" s="71">
        <f t="shared" ref="I261" si="98">SUM(I259:I260)</f>
        <v>1620</v>
      </c>
      <c r="J261" s="3"/>
      <c r="K261" s="3"/>
      <c r="L261" s="3"/>
      <c r="M261" s="3"/>
    </row>
    <row r="262" spans="1:13" x14ac:dyDescent="0.45">
      <c r="A262" s="116" t="s">
        <v>9</v>
      </c>
      <c r="B262" s="115"/>
      <c r="C262" s="115"/>
      <c r="D262" s="115"/>
      <c r="E262" s="67">
        <f>IF(真実の家賃!$L$1=TRUE,計算用1!E261,計算用2!E261)</f>
        <v>-295.74127519999996</v>
      </c>
      <c r="F262" s="110" t="s">
        <v>585</v>
      </c>
      <c r="G262" s="106"/>
      <c r="H262" s="106"/>
      <c r="I262" s="70">
        <f t="shared" ref="I262" si="99">15*L256</f>
        <v>15</v>
      </c>
      <c r="J262" s="3"/>
      <c r="K262" s="3"/>
      <c r="L262" s="3"/>
      <c r="M262" s="3"/>
    </row>
    <row r="263" spans="1:13" x14ac:dyDescent="0.45">
      <c r="A263" s="105" t="s">
        <v>10</v>
      </c>
      <c r="B263" s="106"/>
      <c r="C263" s="106"/>
      <c r="D263" s="106"/>
      <c r="E263" s="67">
        <f>IF(真実の家賃!$L$1=TRUE,計算用1!E262,計算用2!E262)</f>
        <v>0</v>
      </c>
      <c r="F263" s="109" t="s">
        <v>586</v>
      </c>
      <c r="G263" s="108"/>
      <c r="H263" s="108"/>
      <c r="I263" s="71">
        <f t="shared" ref="I263" si="100">I262</f>
        <v>15</v>
      </c>
      <c r="J263" s="3"/>
      <c r="K263" s="3"/>
      <c r="L263" s="3"/>
      <c r="M263" s="3"/>
    </row>
    <row r="264" spans="1:13" ht="18.600000000000001" thickBot="1" x14ac:dyDescent="0.5">
      <c r="A264" s="113" t="s">
        <v>582</v>
      </c>
      <c r="B264" s="112"/>
      <c r="C264" s="112"/>
      <c r="D264" s="112"/>
      <c r="E264" s="68">
        <f t="shared" ref="E264" si="101">E260+E261+E262+E263</f>
        <v>1552.4531248000001</v>
      </c>
      <c r="F264" s="103" t="s">
        <v>587</v>
      </c>
      <c r="G264" s="104"/>
      <c r="H264" s="104"/>
      <c r="I264" s="66">
        <f t="shared" ref="I264" si="102">I258+I261+I263</f>
        <v>1685</v>
      </c>
      <c r="J264" s="3"/>
      <c r="K264" s="3"/>
      <c r="L264" s="3"/>
      <c r="M264" s="3"/>
    </row>
    <row r="265" spans="1:13" x14ac:dyDescent="0.45">
      <c r="A265" s="105" t="s">
        <v>12</v>
      </c>
      <c r="B265" s="106"/>
      <c r="C265" s="106"/>
      <c r="D265" s="106"/>
      <c r="E265" s="67">
        <f>IF(真実の家賃!$L$1=TRUE,計算用1!E264,計算用2!E264)</f>
        <v>2606.2561000000001</v>
      </c>
      <c r="F265" s="3"/>
      <c r="G265" s="3"/>
      <c r="H265" s="3"/>
      <c r="I265" s="3"/>
      <c r="J265" s="3"/>
      <c r="K265" s="3"/>
      <c r="L265" s="3"/>
      <c r="M265" s="3"/>
    </row>
    <row r="266" spans="1:13" x14ac:dyDescent="0.45">
      <c r="A266" s="105" t="s">
        <v>584</v>
      </c>
      <c r="B266" s="106"/>
      <c r="C266" s="106"/>
      <c r="D266" s="106"/>
      <c r="E266" s="67">
        <f>IF(真実の家賃!$L$1=TRUE,計算用1!E265,計算用2!E265)</f>
        <v>142.61666666666665</v>
      </c>
      <c r="F266" s="3"/>
      <c r="G266" s="3"/>
      <c r="H266" s="3"/>
      <c r="I266" s="3"/>
      <c r="J266" s="3"/>
      <c r="K266" s="3"/>
      <c r="L266" s="3"/>
      <c r="M266" s="3"/>
    </row>
    <row r="267" spans="1:13" x14ac:dyDescent="0.45">
      <c r="A267" s="105" t="s">
        <v>585</v>
      </c>
      <c r="B267" s="106"/>
      <c r="C267" s="106"/>
      <c r="D267" s="106"/>
      <c r="E267" s="67">
        <f>$T$8</f>
        <v>15</v>
      </c>
      <c r="F267" s="3"/>
      <c r="G267" s="3"/>
      <c r="H267" s="3"/>
      <c r="I267" s="3"/>
      <c r="J267" s="3"/>
      <c r="K267" s="3"/>
      <c r="L267" s="3"/>
      <c r="M267" s="3"/>
    </row>
    <row r="268" spans="1:13" x14ac:dyDescent="0.45">
      <c r="A268" s="107" t="s">
        <v>586</v>
      </c>
      <c r="B268" s="108"/>
      <c r="C268" s="108"/>
      <c r="D268" s="108"/>
      <c r="E268" s="68">
        <f t="shared" ref="E268" si="103">SUM(E265:E267)</f>
        <v>2763.8727666666668</v>
      </c>
      <c r="F268" s="3"/>
      <c r="G268" s="3"/>
      <c r="H268" s="3"/>
      <c r="I268" s="3"/>
      <c r="J268" s="3"/>
      <c r="K268" s="3"/>
      <c r="L268" s="3"/>
      <c r="M268" s="3"/>
    </row>
    <row r="269" spans="1:13" ht="18.600000000000001" thickBot="1" x14ac:dyDescent="0.5">
      <c r="A269" s="101" t="s">
        <v>587</v>
      </c>
      <c r="B269" s="102"/>
      <c r="C269" s="102"/>
      <c r="D269" s="102"/>
      <c r="E269" s="69">
        <f t="shared" ref="E269" si="104">E259+E264+E268</f>
        <v>4555.1258914666669</v>
      </c>
      <c r="F269" s="3"/>
      <c r="G269" s="3"/>
      <c r="H269" s="3"/>
      <c r="I269" s="3"/>
      <c r="J269" s="3"/>
      <c r="K269" s="3"/>
      <c r="L269" s="3"/>
      <c r="M269" s="3"/>
    </row>
    <row r="270" spans="1:13" x14ac:dyDescent="0.4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4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4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4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4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8.600000000000001" thickBot="1" x14ac:dyDescent="0.5">
      <c r="A275" s="10" t="s">
        <v>588</v>
      </c>
      <c r="B275" s="61"/>
      <c r="C275" s="61"/>
      <c r="D275" s="61"/>
      <c r="E275" s="61"/>
      <c r="F275" s="61"/>
      <c r="G275" s="61"/>
      <c r="H275" s="100" t="s">
        <v>1</v>
      </c>
      <c r="I275" s="100"/>
      <c r="J275" s="3"/>
      <c r="K275" s="3"/>
      <c r="L275" s="3"/>
      <c r="M275" s="3"/>
    </row>
    <row r="276" spans="1:13" x14ac:dyDescent="0.45">
      <c r="A276" s="117" t="s">
        <v>576</v>
      </c>
      <c r="B276" s="118"/>
      <c r="C276" s="118"/>
      <c r="D276" s="118"/>
      <c r="E276" s="119"/>
      <c r="F276" s="120" t="s">
        <v>577</v>
      </c>
      <c r="G276" s="121"/>
      <c r="H276" s="121"/>
      <c r="I276" s="122"/>
      <c r="J276" s="3"/>
      <c r="K276" s="44" t="s">
        <v>590</v>
      </c>
      <c r="L276" s="39">
        <f>損益分岐点!$M$2</f>
        <v>10</v>
      </c>
      <c r="M276" s="3" t="s">
        <v>465</v>
      </c>
    </row>
    <row r="277" spans="1:13" x14ac:dyDescent="0.45">
      <c r="A277" s="123" t="s">
        <v>578</v>
      </c>
      <c r="B277" s="124"/>
      <c r="C277" s="124"/>
      <c r="D277" s="124"/>
      <c r="E277" s="65" t="s">
        <v>0</v>
      </c>
      <c r="F277" s="125" t="s">
        <v>578</v>
      </c>
      <c r="G277" s="124"/>
      <c r="H277" s="124"/>
      <c r="I277" s="65" t="s">
        <v>0</v>
      </c>
      <c r="J277" s="3"/>
      <c r="K277" s="58" t="s">
        <v>589</v>
      </c>
      <c r="L277" s="74">
        <f>$T$3</f>
        <v>1</v>
      </c>
      <c r="M277" s="3" t="s">
        <v>594</v>
      </c>
    </row>
    <row r="278" spans="1:13" ht="18.600000000000001" thickBot="1" x14ac:dyDescent="0.5">
      <c r="A278" s="116" t="s">
        <v>3</v>
      </c>
      <c r="B278" s="115"/>
      <c r="C278" s="115"/>
      <c r="D278" s="115"/>
      <c r="E278" s="67">
        <f>IF(真実の家賃!$L$1=TRUE,計算用1!E277,計算用2!E277)</f>
        <v>0</v>
      </c>
      <c r="F278" s="114" t="s">
        <v>7</v>
      </c>
      <c r="G278" s="115"/>
      <c r="H278" s="115"/>
      <c r="I278" s="70">
        <f t="shared" ref="I278" si="105">L276*5*L277</f>
        <v>50</v>
      </c>
      <c r="J278" s="3"/>
      <c r="K278" s="73" t="s">
        <v>628</v>
      </c>
      <c r="L278" s="72">
        <v>14</v>
      </c>
      <c r="M278" s="3" t="s">
        <v>468</v>
      </c>
    </row>
    <row r="279" spans="1:13" x14ac:dyDescent="0.45">
      <c r="A279" s="116" t="s">
        <v>6</v>
      </c>
      <c r="B279" s="115"/>
      <c r="C279" s="115"/>
      <c r="D279" s="115"/>
      <c r="E279" s="67">
        <f>IF(真実の家賃!$L$1=TRUE,計算用1!E278,計算用2!E278)</f>
        <v>238.79999999999998</v>
      </c>
      <c r="F279" s="111" t="s">
        <v>579</v>
      </c>
      <c r="G279" s="112"/>
      <c r="H279" s="112"/>
      <c r="I279" s="71">
        <f t="shared" ref="I279" si="106">I278</f>
        <v>50</v>
      </c>
      <c r="J279" s="3"/>
      <c r="K279" s="3"/>
      <c r="L279" s="3"/>
      <c r="M279" s="3"/>
    </row>
    <row r="280" spans="1:13" x14ac:dyDescent="0.45">
      <c r="A280" s="113" t="s">
        <v>579</v>
      </c>
      <c r="B280" s="112"/>
      <c r="C280" s="112"/>
      <c r="D280" s="112"/>
      <c r="E280" s="68">
        <f t="shared" ref="E280" si="107">SUM(E278:E279)</f>
        <v>238.79999999999998</v>
      </c>
      <c r="F280" s="114" t="s">
        <v>583</v>
      </c>
      <c r="G280" s="115"/>
      <c r="H280" s="115"/>
      <c r="I280" s="70">
        <f t="shared" ref="I280" si="108">L278*12*L276</f>
        <v>1680</v>
      </c>
      <c r="J280" s="3"/>
      <c r="K280" s="3"/>
      <c r="L280" s="3"/>
      <c r="M280" s="3"/>
    </row>
    <row r="281" spans="1:13" x14ac:dyDescent="0.45">
      <c r="A281" s="116" t="s">
        <v>580</v>
      </c>
      <c r="B281" s="115"/>
      <c r="C281" s="115"/>
      <c r="D281" s="115"/>
      <c r="E281" s="67">
        <f>IF(真実の家賃!$L$1=TRUE,計算用1!E280,計算用2!E280)</f>
        <v>1780.3632</v>
      </c>
      <c r="F281" s="114" t="s">
        <v>596</v>
      </c>
      <c r="G281" s="115"/>
      <c r="H281" s="115"/>
      <c r="I281" s="70">
        <f>_xlfn.SWITCH(L278,1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70</v>
      </c>
      <c r="J281" s="3"/>
      <c r="K281" s="3"/>
      <c r="L281" s="3"/>
      <c r="M281" s="3"/>
    </row>
    <row r="282" spans="1:13" x14ac:dyDescent="0.45">
      <c r="A282" s="105" t="s">
        <v>581</v>
      </c>
      <c r="B282" s="106"/>
      <c r="C282" s="106"/>
      <c r="D282" s="106"/>
      <c r="E282" s="67">
        <f>IF(真実の家賃!$L$1=TRUE,計算用1!E281,計算用2!E281)</f>
        <v>210</v>
      </c>
      <c r="F282" s="111" t="s">
        <v>582</v>
      </c>
      <c r="G282" s="112"/>
      <c r="H282" s="112"/>
      <c r="I282" s="71">
        <f t="shared" ref="I282" si="109">SUM(I280:I281)</f>
        <v>1750</v>
      </c>
      <c r="J282" s="3"/>
      <c r="K282" s="3"/>
      <c r="L282" s="3"/>
      <c r="M282" s="3"/>
    </row>
    <row r="283" spans="1:13" x14ac:dyDescent="0.45">
      <c r="A283" s="116" t="s">
        <v>9</v>
      </c>
      <c r="B283" s="115"/>
      <c r="C283" s="115"/>
      <c r="D283" s="115"/>
      <c r="E283" s="67">
        <f>IF(真実の家賃!$L$1=TRUE,計算用1!E282,計算用2!E282)</f>
        <v>-295.74127519999996</v>
      </c>
      <c r="F283" s="110" t="s">
        <v>585</v>
      </c>
      <c r="G283" s="106"/>
      <c r="H283" s="106"/>
      <c r="I283" s="70">
        <f t="shared" ref="I283" si="110">15*L277</f>
        <v>15</v>
      </c>
      <c r="J283" s="3"/>
      <c r="K283" s="3"/>
      <c r="L283" s="3"/>
      <c r="M283" s="3"/>
    </row>
    <row r="284" spans="1:13" x14ac:dyDescent="0.45">
      <c r="A284" s="105" t="s">
        <v>10</v>
      </c>
      <c r="B284" s="106"/>
      <c r="C284" s="106"/>
      <c r="D284" s="106"/>
      <c r="E284" s="67">
        <f>IF(真実の家賃!$L$1=TRUE,計算用1!E283,計算用2!E283)</f>
        <v>0</v>
      </c>
      <c r="F284" s="109" t="s">
        <v>586</v>
      </c>
      <c r="G284" s="108"/>
      <c r="H284" s="108"/>
      <c r="I284" s="71">
        <f t="shared" ref="I284" si="111">I283</f>
        <v>15</v>
      </c>
      <c r="J284" s="3"/>
      <c r="K284" s="3"/>
      <c r="L284" s="3"/>
      <c r="M284" s="3"/>
    </row>
    <row r="285" spans="1:13" ht="18.600000000000001" thickBot="1" x14ac:dyDescent="0.5">
      <c r="A285" s="113" t="s">
        <v>582</v>
      </c>
      <c r="B285" s="112"/>
      <c r="C285" s="112"/>
      <c r="D285" s="112"/>
      <c r="E285" s="68">
        <f t="shared" ref="E285" si="112">E281+E282+E283+E284</f>
        <v>1694.6219248</v>
      </c>
      <c r="F285" s="103" t="s">
        <v>587</v>
      </c>
      <c r="G285" s="104"/>
      <c r="H285" s="104"/>
      <c r="I285" s="66">
        <f t="shared" ref="I285" si="113">I279+I282+I284</f>
        <v>1815</v>
      </c>
      <c r="J285" s="3"/>
      <c r="K285" s="3"/>
      <c r="L285" s="3"/>
      <c r="M285" s="3"/>
    </row>
    <row r="286" spans="1:13" x14ac:dyDescent="0.45">
      <c r="A286" s="105" t="s">
        <v>12</v>
      </c>
      <c r="B286" s="106"/>
      <c r="C286" s="106"/>
      <c r="D286" s="106"/>
      <c r="E286" s="67">
        <f>IF(真実の家賃!$L$1=TRUE,計算用1!E285,計算用2!E285)</f>
        <v>2495.6985</v>
      </c>
      <c r="F286" s="3"/>
      <c r="G286" s="3"/>
      <c r="H286" s="3"/>
      <c r="I286" s="3"/>
      <c r="J286" s="3"/>
      <c r="K286" s="3"/>
      <c r="L286" s="3"/>
      <c r="M286" s="3"/>
    </row>
    <row r="287" spans="1:13" x14ac:dyDescent="0.45">
      <c r="A287" s="105" t="s">
        <v>584</v>
      </c>
      <c r="B287" s="106"/>
      <c r="C287" s="106"/>
      <c r="D287" s="106"/>
      <c r="E287" s="67">
        <f>IF(真実の家賃!$L$1=TRUE,計算用1!E286,計算用2!E286)</f>
        <v>139.74222222222221</v>
      </c>
      <c r="F287" s="3"/>
      <c r="G287" s="3"/>
      <c r="H287" s="3"/>
      <c r="I287" s="3"/>
      <c r="J287" s="3"/>
      <c r="K287" s="3"/>
      <c r="L287" s="3"/>
      <c r="M287" s="3"/>
    </row>
    <row r="288" spans="1:13" x14ac:dyDescent="0.45">
      <c r="A288" s="105" t="s">
        <v>585</v>
      </c>
      <c r="B288" s="106"/>
      <c r="C288" s="106"/>
      <c r="D288" s="106"/>
      <c r="E288" s="67">
        <f>$T$8</f>
        <v>15</v>
      </c>
      <c r="F288" s="3"/>
      <c r="G288" s="3"/>
      <c r="H288" s="3"/>
      <c r="I288" s="3"/>
      <c r="J288" s="3"/>
      <c r="K288" s="3"/>
      <c r="L288" s="3"/>
      <c r="M288" s="3"/>
    </row>
    <row r="289" spans="1:13" x14ac:dyDescent="0.45">
      <c r="A289" s="107" t="s">
        <v>586</v>
      </c>
      <c r="B289" s="108"/>
      <c r="C289" s="108"/>
      <c r="D289" s="108"/>
      <c r="E289" s="68">
        <f t="shared" ref="E289" si="114">SUM(E286:E288)</f>
        <v>2650.4407222222221</v>
      </c>
      <c r="F289" s="3"/>
      <c r="G289" s="3"/>
      <c r="H289" s="3"/>
      <c r="I289" s="3"/>
      <c r="J289" s="3"/>
      <c r="K289" s="3"/>
      <c r="L289" s="3"/>
      <c r="M289" s="3"/>
    </row>
    <row r="290" spans="1:13" ht="18.600000000000001" thickBot="1" x14ac:dyDescent="0.5">
      <c r="A290" s="101" t="s">
        <v>587</v>
      </c>
      <c r="B290" s="102"/>
      <c r="C290" s="102"/>
      <c r="D290" s="102"/>
      <c r="E290" s="69">
        <f t="shared" ref="E290" si="115">E280+E285+E289</f>
        <v>4583.8626470222225</v>
      </c>
      <c r="F290" s="3"/>
      <c r="G290" s="3"/>
      <c r="H290" s="3"/>
      <c r="I290" s="3"/>
      <c r="J290" s="3"/>
      <c r="K290" s="3"/>
      <c r="L290" s="3"/>
      <c r="M290" s="3"/>
    </row>
    <row r="291" spans="1:13" x14ac:dyDescent="0.4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4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4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4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4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8.600000000000001" thickBot="1" x14ac:dyDescent="0.5">
      <c r="A296" s="10" t="s">
        <v>588</v>
      </c>
      <c r="B296" s="61"/>
      <c r="C296" s="61"/>
      <c r="D296" s="61"/>
      <c r="E296" s="61"/>
      <c r="F296" s="61"/>
      <c r="G296" s="61"/>
      <c r="H296" s="100" t="s">
        <v>1</v>
      </c>
      <c r="I296" s="100"/>
      <c r="J296" s="3"/>
      <c r="K296" s="3"/>
      <c r="L296" s="3"/>
      <c r="M296" s="3"/>
    </row>
    <row r="297" spans="1:13" x14ac:dyDescent="0.45">
      <c r="A297" s="117" t="s">
        <v>576</v>
      </c>
      <c r="B297" s="118"/>
      <c r="C297" s="118"/>
      <c r="D297" s="118"/>
      <c r="E297" s="119"/>
      <c r="F297" s="120" t="s">
        <v>577</v>
      </c>
      <c r="G297" s="121"/>
      <c r="H297" s="121"/>
      <c r="I297" s="122"/>
      <c r="J297" s="3"/>
      <c r="K297" s="44" t="s">
        <v>590</v>
      </c>
      <c r="L297" s="39">
        <f>損益分岐点!$M$2</f>
        <v>10</v>
      </c>
      <c r="M297" s="3" t="s">
        <v>465</v>
      </c>
    </row>
    <row r="298" spans="1:13" x14ac:dyDescent="0.45">
      <c r="A298" s="123" t="s">
        <v>578</v>
      </c>
      <c r="B298" s="124"/>
      <c r="C298" s="124"/>
      <c r="D298" s="124"/>
      <c r="E298" s="65" t="s">
        <v>0</v>
      </c>
      <c r="F298" s="125" t="s">
        <v>578</v>
      </c>
      <c r="G298" s="124"/>
      <c r="H298" s="124"/>
      <c r="I298" s="65" t="s">
        <v>0</v>
      </c>
      <c r="J298" s="3"/>
      <c r="K298" s="58" t="s">
        <v>589</v>
      </c>
      <c r="L298" s="74">
        <f>$T$3</f>
        <v>1</v>
      </c>
      <c r="M298" s="3" t="s">
        <v>594</v>
      </c>
    </row>
    <row r="299" spans="1:13" ht="18.600000000000001" thickBot="1" x14ac:dyDescent="0.5">
      <c r="A299" s="116" t="s">
        <v>3</v>
      </c>
      <c r="B299" s="115"/>
      <c r="C299" s="115"/>
      <c r="D299" s="115"/>
      <c r="E299" s="67">
        <f>IF(真実の家賃!$L$1=TRUE,計算用1!E298,計算用2!E298)</f>
        <v>0</v>
      </c>
      <c r="F299" s="114" t="s">
        <v>7</v>
      </c>
      <c r="G299" s="115"/>
      <c r="H299" s="115"/>
      <c r="I299" s="70">
        <f t="shared" ref="I299" si="116">L297*5*L298</f>
        <v>50</v>
      </c>
      <c r="J299" s="3"/>
      <c r="K299" s="73" t="s">
        <v>628</v>
      </c>
      <c r="L299" s="72">
        <v>15</v>
      </c>
      <c r="M299" s="3" t="s">
        <v>468</v>
      </c>
    </row>
    <row r="300" spans="1:13" x14ac:dyDescent="0.45">
      <c r="A300" s="116" t="s">
        <v>6</v>
      </c>
      <c r="B300" s="115"/>
      <c r="C300" s="115"/>
      <c r="D300" s="115"/>
      <c r="E300" s="67">
        <f>IF(真実の家賃!$L$1=TRUE,計算用1!E299,計算用2!E299)</f>
        <v>238.79999999999998</v>
      </c>
      <c r="F300" s="111" t="s">
        <v>579</v>
      </c>
      <c r="G300" s="112"/>
      <c r="H300" s="112"/>
      <c r="I300" s="71">
        <f t="shared" ref="I300" si="117">I299</f>
        <v>50</v>
      </c>
      <c r="J300" s="3"/>
      <c r="K300" s="3"/>
      <c r="L300" s="3"/>
      <c r="M300" s="3"/>
    </row>
    <row r="301" spans="1:13" x14ac:dyDescent="0.45">
      <c r="A301" s="113" t="s">
        <v>579</v>
      </c>
      <c r="B301" s="112"/>
      <c r="C301" s="112"/>
      <c r="D301" s="112"/>
      <c r="E301" s="68">
        <f t="shared" ref="E301" si="118">SUM(E299:E300)</f>
        <v>238.79999999999998</v>
      </c>
      <c r="F301" s="114" t="s">
        <v>583</v>
      </c>
      <c r="G301" s="115"/>
      <c r="H301" s="115"/>
      <c r="I301" s="70">
        <f t="shared" ref="I301" si="119">L299*12*L297</f>
        <v>1800</v>
      </c>
      <c r="J301" s="3"/>
      <c r="K301" s="3"/>
      <c r="L301" s="3"/>
      <c r="M301" s="3"/>
    </row>
    <row r="302" spans="1:13" x14ac:dyDescent="0.45">
      <c r="A302" s="116" t="s">
        <v>580</v>
      </c>
      <c r="B302" s="115"/>
      <c r="C302" s="115"/>
      <c r="D302" s="115"/>
      <c r="E302" s="67">
        <f>IF(真実の家賃!$L$1=TRUE,計算用1!E301,計算用2!E301)</f>
        <v>1907.5319999999999</v>
      </c>
      <c r="F302" s="114" t="s">
        <v>596</v>
      </c>
      <c r="G302" s="115"/>
      <c r="H302" s="115"/>
      <c r="I302" s="70">
        <f>_xlfn.SWITCH(L299,1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70</v>
      </c>
      <c r="J302" s="3"/>
      <c r="K302" s="3"/>
      <c r="L302" s="3"/>
      <c r="M302" s="3"/>
    </row>
    <row r="303" spans="1:13" x14ac:dyDescent="0.45">
      <c r="A303" s="105" t="s">
        <v>581</v>
      </c>
      <c r="B303" s="106"/>
      <c r="C303" s="106"/>
      <c r="D303" s="106"/>
      <c r="E303" s="67">
        <f>IF(真実の家賃!$L$1=TRUE,計算用1!E302,計算用2!E302)</f>
        <v>225</v>
      </c>
      <c r="F303" s="111" t="s">
        <v>582</v>
      </c>
      <c r="G303" s="112"/>
      <c r="H303" s="112"/>
      <c r="I303" s="71">
        <f t="shared" ref="I303" si="120">SUM(I301:I302)</f>
        <v>1870</v>
      </c>
      <c r="J303" s="3"/>
      <c r="K303" s="3"/>
      <c r="L303" s="3"/>
      <c r="M303" s="3"/>
    </row>
    <row r="304" spans="1:13" x14ac:dyDescent="0.45">
      <c r="A304" s="116" t="s">
        <v>9</v>
      </c>
      <c r="B304" s="115"/>
      <c r="C304" s="115"/>
      <c r="D304" s="115"/>
      <c r="E304" s="67">
        <f>IF(真実の家賃!$L$1=TRUE,計算用1!E303,計算用2!E303)</f>
        <v>-295.74127519999996</v>
      </c>
      <c r="F304" s="110" t="s">
        <v>585</v>
      </c>
      <c r="G304" s="106"/>
      <c r="H304" s="106"/>
      <c r="I304" s="70">
        <f t="shared" ref="I304" si="121">15*L298</f>
        <v>15</v>
      </c>
      <c r="J304" s="3"/>
      <c r="K304" s="3"/>
      <c r="L304" s="3"/>
      <c r="M304" s="3"/>
    </row>
    <row r="305" spans="1:13" x14ac:dyDescent="0.45">
      <c r="A305" s="105" t="s">
        <v>10</v>
      </c>
      <c r="B305" s="106"/>
      <c r="C305" s="106"/>
      <c r="D305" s="106"/>
      <c r="E305" s="67">
        <f>IF(真実の家賃!$L$1=TRUE,計算用1!E304,計算用2!E304)</f>
        <v>0</v>
      </c>
      <c r="F305" s="109" t="s">
        <v>586</v>
      </c>
      <c r="G305" s="108"/>
      <c r="H305" s="108"/>
      <c r="I305" s="71">
        <f t="shared" ref="I305" si="122">I304</f>
        <v>15</v>
      </c>
      <c r="J305" s="3"/>
      <c r="K305" s="3"/>
      <c r="L305" s="3"/>
      <c r="M305" s="3"/>
    </row>
    <row r="306" spans="1:13" ht="18.600000000000001" thickBot="1" x14ac:dyDescent="0.5">
      <c r="A306" s="113" t="s">
        <v>582</v>
      </c>
      <c r="B306" s="112"/>
      <c r="C306" s="112"/>
      <c r="D306" s="112"/>
      <c r="E306" s="68">
        <f t="shared" ref="E306" si="123">E302+E303+E304+E305</f>
        <v>1836.7907248000001</v>
      </c>
      <c r="F306" s="103" t="s">
        <v>587</v>
      </c>
      <c r="G306" s="104"/>
      <c r="H306" s="104"/>
      <c r="I306" s="66">
        <f t="shared" ref="I306" si="124">I300+I303+I305</f>
        <v>1935</v>
      </c>
      <c r="J306" s="3"/>
      <c r="K306" s="3"/>
      <c r="L306" s="3"/>
      <c r="M306" s="3"/>
    </row>
    <row r="307" spans="1:13" x14ac:dyDescent="0.45">
      <c r="A307" s="105" t="s">
        <v>12</v>
      </c>
      <c r="B307" s="106"/>
      <c r="C307" s="106"/>
      <c r="D307" s="106"/>
      <c r="E307" s="67">
        <f>IF(真実の家賃!$L$1=TRUE,計算用1!E306,計算用2!E306)</f>
        <v>2384.42</v>
      </c>
      <c r="F307" s="3"/>
      <c r="G307" s="3"/>
      <c r="H307" s="3"/>
      <c r="I307" s="3"/>
      <c r="J307" s="3"/>
      <c r="K307" s="3"/>
      <c r="L307" s="3"/>
      <c r="M307" s="3"/>
    </row>
    <row r="308" spans="1:13" x14ac:dyDescent="0.45">
      <c r="A308" s="105" t="s">
        <v>584</v>
      </c>
      <c r="B308" s="106"/>
      <c r="C308" s="106"/>
      <c r="D308" s="106"/>
      <c r="E308" s="67">
        <f>IF(真実の家賃!$L$1=TRUE,計算用1!E307,計算用2!E307)</f>
        <v>136.86777777777775</v>
      </c>
      <c r="F308" s="3"/>
      <c r="G308" s="3"/>
      <c r="H308" s="3"/>
      <c r="I308" s="3"/>
      <c r="J308" s="3"/>
      <c r="K308" s="3"/>
      <c r="L308" s="3"/>
      <c r="M308" s="3"/>
    </row>
    <row r="309" spans="1:13" x14ac:dyDescent="0.45">
      <c r="A309" s="105" t="s">
        <v>585</v>
      </c>
      <c r="B309" s="106"/>
      <c r="C309" s="106"/>
      <c r="D309" s="106"/>
      <c r="E309" s="67">
        <f>$T$8</f>
        <v>15</v>
      </c>
      <c r="F309" s="3"/>
      <c r="G309" s="3"/>
      <c r="H309" s="3"/>
      <c r="I309" s="3"/>
      <c r="J309" s="3"/>
      <c r="K309" s="3"/>
      <c r="L309" s="3"/>
      <c r="M309" s="3"/>
    </row>
    <row r="310" spans="1:13" x14ac:dyDescent="0.45">
      <c r="A310" s="107" t="s">
        <v>586</v>
      </c>
      <c r="B310" s="108"/>
      <c r="C310" s="108"/>
      <c r="D310" s="108"/>
      <c r="E310" s="68">
        <f t="shared" ref="E310" si="125">SUM(E307:E309)</f>
        <v>2536.2877777777776</v>
      </c>
      <c r="F310" s="3"/>
      <c r="G310" s="3"/>
      <c r="H310" s="3"/>
      <c r="I310" s="3"/>
      <c r="J310" s="3"/>
      <c r="K310" s="3"/>
      <c r="L310" s="3"/>
      <c r="M310" s="3"/>
    </row>
    <row r="311" spans="1:13" ht="18.600000000000001" thickBot="1" x14ac:dyDescent="0.5">
      <c r="A311" s="101" t="s">
        <v>587</v>
      </c>
      <c r="B311" s="102"/>
      <c r="C311" s="102"/>
      <c r="D311" s="102"/>
      <c r="E311" s="69">
        <f t="shared" ref="E311" si="126">E301+E306+E310</f>
        <v>4611.8785025777779</v>
      </c>
      <c r="F311" s="3"/>
      <c r="G311" s="3"/>
      <c r="H311" s="3"/>
      <c r="I311" s="3"/>
      <c r="J311" s="3"/>
      <c r="K311" s="3"/>
      <c r="L311" s="3"/>
      <c r="M311" s="3"/>
    </row>
    <row r="312" spans="1:13" x14ac:dyDescent="0.4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4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4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4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4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8.600000000000001" thickBot="1" x14ac:dyDescent="0.5">
      <c r="A317" s="10" t="s">
        <v>588</v>
      </c>
      <c r="B317" s="61"/>
      <c r="C317" s="61"/>
      <c r="D317" s="61"/>
      <c r="E317" s="61"/>
      <c r="F317" s="61"/>
      <c r="G317" s="61"/>
      <c r="H317" s="100" t="s">
        <v>1</v>
      </c>
      <c r="I317" s="100"/>
      <c r="J317" s="3"/>
      <c r="K317" s="3"/>
      <c r="L317" s="3"/>
      <c r="M317" s="3"/>
    </row>
    <row r="318" spans="1:13" x14ac:dyDescent="0.45">
      <c r="A318" s="117" t="s">
        <v>576</v>
      </c>
      <c r="B318" s="118"/>
      <c r="C318" s="118"/>
      <c r="D318" s="118"/>
      <c r="E318" s="119"/>
      <c r="F318" s="120" t="s">
        <v>577</v>
      </c>
      <c r="G318" s="121"/>
      <c r="H318" s="121"/>
      <c r="I318" s="122"/>
      <c r="J318" s="3"/>
      <c r="K318" s="44" t="s">
        <v>590</v>
      </c>
      <c r="L318" s="39">
        <f>損益分岐点!$M$2</f>
        <v>10</v>
      </c>
      <c r="M318" s="3" t="s">
        <v>465</v>
      </c>
    </row>
    <row r="319" spans="1:13" x14ac:dyDescent="0.45">
      <c r="A319" s="123" t="s">
        <v>578</v>
      </c>
      <c r="B319" s="124"/>
      <c r="C319" s="124"/>
      <c r="D319" s="124"/>
      <c r="E319" s="65" t="s">
        <v>0</v>
      </c>
      <c r="F319" s="125" t="s">
        <v>578</v>
      </c>
      <c r="G319" s="124"/>
      <c r="H319" s="124"/>
      <c r="I319" s="65" t="s">
        <v>0</v>
      </c>
      <c r="J319" s="3"/>
      <c r="K319" s="58" t="s">
        <v>589</v>
      </c>
      <c r="L319" s="74">
        <f>$T$4</f>
        <v>2</v>
      </c>
      <c r="M319" s="3" t="s">
        <v>594</v>
      </c>
    </row>
    <row r="320" spans="1:13" ht="18.600000000000001" thickBot="1" x14ac:dyDescent="0.5">
      <c r="A320" s="116" t="s">
        <v>3</v>
      </c>
      <c r="B320" s="115"/>
      <c r="C320" s="115"/>
      <c r="D320" s="115"/>
      <c r="E320" s="67">
        <f>IF(真実の家賃!$L$1=TRUE,計算用1!E319,計算用2!E319)</f>
        <v>0</v>
      </c>
      <c r="F320" s="114" t="s">
        <v>7</v>
      </c>
      <c r="G320" s="115"/>
      <c r="H320" s="115"/>
      <c r="I320" s="70">
        <f>L318*5*L319</f>
        <v>100</v>
      </c>
      <c r="J320" s="3"/>
      <c r="K320" s="73" t="s">
        <v>628</v>
      </c>
      <c r="L320" s="72">
        <v>16</v>
      </c>
      <c r="M320" s="3" t="s">
        <v>468</v>
      </c>
    </row>
    <row r="321" spans="1:13" x14ac:dyDescent="0.45">
      <c r="A321" s="116" t="s">
        <v>6</v>
      </c>
      <c r="B321" s="115"/>
      <c r="C321" s="115"/>
      <c r="D321" s="115"/>
      <c r="E321" s="67">
        <f>IF(真実の家賃!$L$1=TRUE,計算用1!E320,計算用2!E320)</f>
        <v>238.79999999999998</v>
      </c>
      <c r="F321" s="111" t="s">
        <v>579</v>
      </c>
      <c r="G321" s="112"/>
      <c r="H321" s="112"/>
      <c r="I321" s="71">
        <f t="shared" ref="I321" si="127">I320</f>
        <v>100</v>
      </c>
      <c r="J321" s="3"/>
      <c r="K321" s="3"/>
      <c r="L321" s="3"/>
      <c r="M321" s="3"/>
    </row>
    <row r="322" spans="1:13" x14ac:dyDescent="0.45">
      <c r="A322" s="113" t="s">
        <v>579</v>
      </c>
      <c r="B322" s="112"/>
      <c r="C322" s="112"/>
      <c r="D322" s="112"/>
      <c r="E322" s="68">
        <f t="shared" ref="E322" si="128">SUM(E320:E321)</f>
        <v>238.79999999999998</v>
      </c>
      <c r="F322" s="114" t="s">
        <v>583</v>
      </c>
      <c r="G322" s="115"/>
      <c r="H322" s="115"/>
      <c r="I322" s="70">
        <f>L320*12*L318</f>
        <v>1920</v>
      </c>
      <c r="J322" s="3"/>
      <c r="K322" s="3"/>
      <c r="L322" s="3"/>
      <c r="M322" s="3"/>
    </row>
    <row r="323" spans="1:13" x14ac:dyDescent="0.45">
      <c r="A323" s="116" t="s">
        <v>580</v>
      </c>
      <c r="B323" s="115"/>
      <c r="C323" s="115"/>
      <c r="D323" s="115"/>
      <c r="E323" s="67">
        <f>IF(真実の家賃!$L$1=TRUE,計算用1!E322,計算用2!E322)</f>
        <v>2034.7008000000001</v>
      </c>
      <c r="F323" s="114" t="s">
        <v>596</v>
      </c>
      <c r="G323" s="115"/>
      <c r="H323" s="115"/>
      <c r="I323" s="70">
        <f>_xlfn.SWITCH(L320,1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80</v>
      </c>
      <c r="J323" s="3"/>
      <c r="K323" s="3"/>
      <c r="L323" s="3"/>
      <c r="M323" s="3"/>
    </row>
    <row r="324" spans="1:13" x14ac:dyDescent="0.45">
      <c r="A324" s="105" t="s">
        <v>581</v>
      </c>
      <c r="B324" s="106"/>
      <c r="C324" s="106"/>
      <c r="D324" s="106"/>
      <c r="E324" s="67">
        <f>IF(真実の家賃!$L$1=TRUE,計算用1!E323,計算用2!E323)</f>
        <v>240</v>
      </c>
      <c r="F324" s="111" t="s">
        <v>582</v>
      </c>
      <c r="G324" s="112"/>
      <c r="H324" s="112"/>
      <c r="I324" s="71">
        <f t="shared" ref="I324" si="129">SUM(I322:I323)</f>
        <v>2000</v>
      </c>
      <c r="J324" s="3"/>
      <c r="K324" s="3"/>
      <c r="L324" s="3"/>
      <c r="M324" s="3"/>
    </row>
    <row r="325" spans="1:13" x14ac:dyDescent="0.45">
      <c r="A325" s="116" t="s">
        <v>9</v>
      </c>
      <c r="B325" s="115"/>
      <c r="C325" s="115"/>
      <c r="D325" s="115"/>
      <c r="E325" s="67">
        <f>IF(真実の家賃!$L$1=TRUE,計算用1!E324,計算用2!E324)</f>
        <v>-295.74127519999996</v>
      </c>
      <c r="F325" s="110" t="s">
        <v>585</v>
      </c>
      <c r="G325" s="106"/>
      <c r="H325" s="106"/>
      <c r="I325" s="70">
        <f>15*L319</f>
        <v>30</v>
      </c>
      <c r="J325" s="3"/>
      <c r="K325" s="3"/>
      <c r="L325" s="3"/>
      <c r="M325" s="3"/>
    </row>
    <row r="326" spans="1:13" x14ac:dyDescent="0.45">
      <c r="A326" s="105" t="s">
        <v>10</v>
      </c>
      <c r="B326" s="106"/>
      <c r="C326" s="106"/>
      <c r="D326" s="106"/>
      <c r="E326" s="67">
        <f>IF(真実の家賃!$L$1=TRUE,計算用1!E325,計算用2!E325)</f>
        <v>0</v>
      </c>
      <c r="F326" s="109" t="s">
        <v>586</v>
      </c>
      <c r="G326" s="108"/>
      <c r="H326" s="108"/>
      <c r="I326" s="71">
        <f t="shared" ref="I326" si="130">I325</f>
        <v>30</v>
      </c>
      <c r="J326" s="3"/>
      <c r="K326" s="3"/>
      <c r="L326" s="3"/>
      <c r="M326" s="3"/>
    </row>
    <row r="327" spans="1:13" ht="18.600000000000001" thickBot="1" x14ac:dyDescent="0.5">
      <c r="A327" s="113" t="s">
        <v>582</v>
      </c>
      <c r="B327" s="112"/>
      <c r="C327" s="112"/>
      <c r="D327" s="112"/>
      <c r="E327" s="68">
        <f t="shared" ref="E327" si="131">E323+E324+E325+E326</f>
        <v>1978.9595248000001</v>
      </c>
      <c r="F327" s="103" t="s">
        <v>587</v>
      </c>
      <c r="G327" s="104"/>
      <c r="H327" s="104"/>
      <c r="I327" s="66">
        <f t="shared" ref="I327" si="132">I321+I324+I326</f>
        <v>2130</v>
      </c>
      <c r="J327" s="3"/>
      <c r="K327" s="3"/>
      <c r="L327" s="3"/>
      <c r="M327" s="3"/>
    </row>
    <row r="328" spans="1:13" x14ac:dyDescent="0.45">
      <c r="A328" s="105" t="s">
        <v>12</v>
      </c>
      <c r="B328" s="106"/>
      <c r="C328" s="106"/>
      <c r="D328" s="106"/>
      <c r="E328" s="67">
        <f>IF(真実の家賃!$L$1=TRUE,計算用1!E327,計算用2!E327)</f>
        <v>2272.4160000000002</v>
      </c>
      <c r="F328" s="3"/>
      <c r="G328" s="3"/>
      <c r="H328" s="3"/>
      <c r="I328" s="3"/>
      <c r="J328" s="3"/>
      <c r="K328" s="3"/>
      <c r="L328" s="3"/>
      <c r="M328" s="3"/>
    </row>
    <row r="329" spans="1:13" x14ac:dyDescent="0.45">
      <c r="A329" s="105" t="s">
        <v>584</v>
      </c>
      <c r="B329" s="106"/>
      <c r="C329" s="106"/>
      <c r="D329" s="106"/>
      <c r="E329" s="67">
        <f>IF(真実の家賃!$L$1=TRUE,計算用1!E328,計算用2!E328)</f>
        <v>133.99333333333331</v>
      </c>
      <c r="F329" s="3"/>
      <c r="G329" s="3"/>
      <c r="H329" s="3"/>
      <c r="I329" s="3"/>
      <c r="J329" s="3"/>
      <c r="K329" s="3"/>
      <c r="L329" s="3"/>
      <c r="M329" s="3"/>
    </row>
    <row r="330" spans="1:13" x14ac:dyDescent="0.45">
      <c r="A330" s="105" t="s">
        <v>585</v>
      </c>
      <c r="B330" s="106"/>
      <c r="C330" s="106"/>
      <c r="D330" s="106"/>
      <c r="E330" s="67">
        <f>$T$8</f>
        <v>15</v>
      </c>
      <c r="F330" s="3"/>
      <c r="G330" s="3"/>
      <c r="H330" s="3"/>
      <c r="I330" s="3"/>
      <c r="J330" s="3"/>
      <c r="K330" s="3"/>
      <c r="L330" s="3"/>
      <c r="M330" s="3"/>
    </row>
    <row r="331" spans="1:13" x14ac:dyDescent="0.45">
      <c r="A331" s="107" t="s">
        <v>586</v>
      </c>
      <c r="B331" s="108"/>
      <c r="C331" s="108"/>
      <c r="D331" s="108"/>
      <c r="E331" s="68">
        <f t="shared" ref="E331" si="133">SUM(E328:E330)</f>
        <v>2421.4093333333335</v>
      </c>
      <c r="F331" s="3"/>
      <c r="G331" s="3"/>
      <c r="H331" s="3"/>
      <c r="I331" s="3"/>
      <c r="J331" s="3"/>
      <c r="K331" s="3"/>
      <c r="L331" s="3"/>
      <c r="M331" s="3"/>
    </row>
    <row r="332" spans="1:13" ht="18.600000000000001" thickBot="1" x14ac:dyDescent="0.5">
      <c r="A332" s="101" t="s">
        <v>587</v>
      </c>
      <c r="B332" s="102"/>
      <c r="C332" s="102"/>
      <c r="D332" s="102"/>
      <c r="E332" s="69">
        <f t="shared" ref="E332" si="134">E322+E327+E331</f>
        <v>4639.1688581333337</v>
      </c>
      <c r="F332" s="3"/>
      <c r="G332" s="3"/>
      <c r="H332" s="3"/>
      <c r="I332" s="3"/>
      <c r="J332" s="3"/>
      <c r="K332" s="3"/>
      <c r="L332" s="3"/>
      <c r="M332" s="3"/>
    </row>
    <row r="333" spans="1:13" x14ac:dyDescent="0.4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4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4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4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4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8.600000000000001" thickBot="1" x14ac:dyDescent="0.5">
      <c r="A338" s="10" t="s">
        <v>588</v>
      </c>
      <c r="B338" s="61"/>
      <c r="C338" s="61"/>
      <c r="D338" s="61"/>
      <c r="E338" s="61"/>
      <c r="F338" s="61"/>
      <c r="G338" s="61"/>
      <c r="H338" s="100" t="s">
        <v>1</v>
      </c>
      <c r="I338" s="100"/>
      <c r="J338" s="3"/>
      <c r="K338" s="3"/>
      <c r="L338" s="3"/>
      <c r="M338" s="3"/>
    </row>
    <row r="339" spans="1:13" x14ac:dyDescent="0.45">
      <c r="A339" s="117" t="s">
        <v>576</v>
      </c>
      <c r="B339" s="118"/>
      <c r="C339" s="118"/>
      <c r="D339" s="118"/>
      <c r="E339" s="119"/>
      <c r="F339" s="120" t="s">
        <v>577</v>
      </c>
      <c r="G339" s="121"/>
      <c r="H339" s="121"/>
      <c r="I339" s="122"/>
      <c r="J339" s="3"/>
      <c r="K339" s="44" t="s">
        <v>590</v>
      </c>
      <c r="L339" s="39">
        <f>損益分岐点!$M$2</f>
        <v>10</v>
      </c>
      <c r="M339" s="3" t="s">
        <v>465</v>
      </c>
    </row>
    <row r="340" spans="1:13" x14ac:dyDescent="0.45">
      <c r="A340" s="123" t="s">
        <v>578</v>
      </c>
      <c r="B340" s="124"/>
      <c r="C340" s="124"/>
      <c r="D340" s="124"/>
      <c r="E340" s="65" t="s">
        <v>0</v>
      </c>
      <c r="F340" s="125" t="s">
        <v>578</v>
      </c>
      <c r="G340" s="124"/>
      <c r="H340" s="124"/>
      <c r="I340" s="65" t="s">
        <v>0</v>
      </c>
      <c r="J340" s="3"/>
      <c r="K340" s="58" t="s">
        <v>589</v>
      </c>
      <c r="L340" s="74">
        <f>$T$4</f>
        <v>2</v>
      </c>
      <c r="M340" s="3" t="s">
        <v>594</v>
      </c>
    </row>
    <row r="341" spans="1:13" ht="18.600000000000001" thickBot="1" x14ac:dyDescent="0.5">
      <c r="A341" s="116" t="s">
        <v>3</v>
      </c>
      <c r="B341" s="115"/>
      <c r="C341" s="115"/>
      <c r="D341" s="115"/>
      <c r="E341" s="67">
        <f>IF(真実の家賃!$L$1=TRUE,計算用1!E340,計算用2!E340)</f>
        <v>0</v>
      </c>
      <c r="F341" s="114" t="s">
        <v>7</v>
      </c>
      <c r="G341" s="115"/>
      <c r="H341" s="115"/>
      <c r="I341" s="70">
        <f t="shared" ref="I341" si="135">L339*5*L340</f>
        <v>100</v>
      </c>
      <c r="J341" s="3"/>
      <c r="K341" s="73" t="s">
        <v>628</v>
      </c>
      <c r="L341" s="72">
        <v>17</v>
      </c>
      <c r="M341" s="3" t="s">
        <v>468</v>
      </c>
    </row>
    <row r="342" spans="1:13" x14ac:dyDescent="0.45">
      <c r="A342" s="116" t="s">
        <v>6</v>
      </c>
      <c r="B342" s="115"/>
      <c r="C342" s="115"/>
      <c r="D342" s="115"/>
      <c r="E342" s="67">
        <f>IF(真実の家賃!$L$1=TRUE,計算用1!E341,計算用2!E341)</f>
        <v>238.79999999999998</v>
      </c>
      <c r="F342" s="111" t="s">
        <v>579</v>
      </c>
      <c r="G342" s="112"/>
      <c r="H342" s="112"/>
      <c r="I342" s="71">
        <f t="shared" ref="I342" si="136">I341</f>
        <v>100</v>
      </c>
      <c r="J342" s="3"/>
      <c r="K342" s="3"/>
      <c r="L342" s="3"/>
      <c r="M342" s="3"/>
    </row>
    <row r="343" spans="1:13" x14ac:dyDescent="0.45">
      <c r="A343" s="113" t="s">
        <v>579</v>
      </c>
      <c r="B343" s="112"/>
      <c r="C343" s="112"/>
      <c r="D343" s="112"/>
      <c r="E343" s="68">
        <f t="shared" ref="E343" si="137">SUM(E341:E342)</f>
        <v>238.79999999999998</v>
      </c>
      <c r="F343" s="114" t="s">
        <v>583</v>
      </c>
      <c r="G343" s="115"/>
      <c r="H343" s="115"/>
      <c r="I343" s="70">
        <f t="shared" ref="I343" si="138">L341*12*L339</f>
        <v>2040</v>
      </c>
      <c r="J343" s="3"/>
      <c r="K343" s="3"/>
      <c r="L343" s="3"/>
      <c r="M343" s="3"/>
    </row>
    <row r="344" spans="1:13" x14ac:dyDescent="0.45">
      <c r="A344" s="116" t="s">
        <v>580</v>
      </c>
      <c r="B344" s="115"/>
      <c r="C344" s="115"/>
      <c r="D344" s="115"/>
      <c r="E344" s="67">
        <f>IF(真実の家賃!$L$1=TRUE,計算用1!E343,計算用2!E343)</f>
        <v>2161.8696</v>
      </c>
      <c r="F344" s="114" t="s">
        <v>596</v>
      </c>
      <c r="G344" s="115"/>
      <c r="H344" s="115"/>
      <c r="I344" s="70">
        <f>_xlfn.SWITCH(L341,1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80</v>
      </c>
      <c r="J344" s="3"/>
      <c r="K344" s="3"/>
      <c r="L344" s="3"/>
      <c r="M344" s="3"/>
    </row>
    <row r="345" spans="1:13" x14ac:dyDescent="0.45">
      <c r="A345" s="105" t="s">
        <v>581</v>
      </c>
      <c r="B345" s="106"/>
      <c r="C345" s="106"/>
      <c r="D345" s="106"/>
      <c r="E345" s="67">
        <f>IF(真実の家賃!$L$1=TRUE,計算用1!E344,計算用2!E344)</f>
        <v>255</v>
      </c>
      <c r="F345" s="111" t="s">
        <v>582</v>
      </c>
      <c r="G345" s="112"/>
      <c r="H345" s="112"/>
      <c r="I345" s="71">
        <f t="shared" ref="I345" si="139">SUM(I343:I344)</f>
        <v>2120</v>
      </c>
      <c r="J345" s="3"/>
      <c r="K345" s="3"/>
      <c r="L345" s="3"/>
      <c r="M345" s="3"/>
    </row>
    <row r="346" spans="1:13" x14ac:dyDescent="0.45">
      <c r="A346" s="116" t="s">
        <v>9</v>
      </c>
      <c r="B346" s="115"/>
      <c r="C346" s="115"/>
      <c r="D346" s="115"/>
      <c r="E346" s="67">
        <f>IF(真実の家賃!$L$1=TRUE,計算用1!E345,計算用2!E345)</f>
        <v>-295.74127519999996</v>
      </c>
      <c r="F346" s="110" t="s">
        <v>585</v>
      </c>
      <c r="G346" s="106"/>
      <c r="H346" s="106"/>
      <c r="I346" s="70">
        <f t="shared" ref="I346" si="140">15*L340</f>
        <v>30</v>
      </c>
      <c r="J346" s="3"/>
      <c r="K346" s="3"/>
      <c r="L346" s="3"/>
      <c r="M346" s="3"/>
    </row>
    <row r="347" spans="1:13" x14ac:dyDescent="0.45">
      <c r="A347" s="105" t="s">
        <v>10</v>
      </c>
      <c r="B347" s="106"/>
      <c r="C347" s="106"/>
      <c r="D347" s="106"/>
      <c r="E347" s="67">
        <f>IF(真実の家賃!$L$1=TRUE,計算用1!E346,計算用2!E346)</f>
        <v>0</v>
      </c>
      <c r="F347" s="109" t="s">
        <v>586</v>
      </c>
      <c r="G347" s="108"/>
      <c r="H347" s="108"/>
      <c r="I347" s="71">
        <f t="shared" ref="I347" si="141">I346</f>
        <v>30</v>
      </c>
      <c r="J347" s="3"/>
      <c r="K347" s="3"/>
      <c r="L347" s="3"/>
      <c r="M347" s="3"/>
    </row>
    <row r="348" spans="1:13" ht="18.600000000000001" thickBot="1" x14ac:dyDescent="0.5">
      <c r="A348" s="113" t="s">
        <v>582</v>
      </c>
      <c r="B348" s="112"/>
      <c r="C348" s="112"/>
      <c r="D348" s="112"/>
      <c r="E348" s="68">
        <f t="shared" ref="E348" si="142">E344+E345+E346+E347</f>
        <v>2121.1283248</v>
      </c>
      <c r="F348" s="103" t="s">
        <v>587</v>
      </c>
      <c r="G348" s="104"/>
      <c r="H348" s="104"/>
      <c r="I348" s="66">
        <f t="shared" ref="I348" si="143">I342+I345+I347</f>
        <v>2250</v>
      </c>
      <c r="J348" s="3"/>
      <c r="K348" s="3"/>
      <c r="L348" s="3"/>
      <c r="M348" s="3"/>
    </row>
    <row r="349" spans="1:13" x14ac:dyDescent="0.45">
      <c r="A349" s="105" t="s">
        <v>12</v>
      </c>
      <c r="B349" s="106"/>
      <c r="C349" s="106"/>
      <c r="D349" s="106"/>
      <c r="E349" s="67">
        <f>IF(真実の家賃!$L$1=TRUE,計算用1!E348,計算用2!E348)</f>
        <v>2159.6819</v>
      </c>
      <c r="F349" s="3"/>
      <c r="G349" s="3"/>
      <c r="H349" s="3"/>
      <c r="I349" s="3"/>
      <c r="J349" s="3"/>
      <c r="K349" s="3"/>
      <c r="L349" s="3"/>
      <c r="M349" s="3"/>
    </row>
    <row r="350" spans="1:13" x14ac:dyDescent="0.45">
      <c r="A350" s="105" t="s">
        <v>584</v>
      </c>
      <c r="B350" s="106"/>
      <c r="C350" s="106"/>
      <c r="D350" s="106"/>
      <c r="E350" s="67">
        <f>IF(真実の家賃!$L$1=TRUE,計算用1!E349,計算用2!E349)</f>
        <v>131.11888888888885</v>
      </c>
      <c r="F350" s="3"/>
      <c r="G350" s="3"/>
      <c r="H350" s="3"/>
      <c r="I350" s="3"/>
      <c r="J350" s="3"/>
      <c r="K350" s="3"/>
      <c r="L350" s="3"/>
      <c r="M350" s="3"/>
    </row>
    <row r="351" spans="1:13" x14ac:dyDescent="0.45">
      <c r="A351" s="105" t="s">
        <v>585</v>
      </c>
      <c r="B351" s="106"/>
      <c r="C351" s="106"/>
      <c r="D351" s="106"/>
      <c r="E351" s="67">
        <f>$T$8</f>
        <v>15</v>
      </c>
      <c r="F351" s="3"/>
      <c r="G351" s="3"/>
      <c r="H351" s="3"/>
      <c r="I351" s="3"/>
      <c r="J351" s="3"/>
      <c r="K351" s="3"/>
      <c r="L351" s="3"/>
      <c r="M351" s="3"/>
    </row>
    <row r="352" spans="1:13" x14ac:dyDescent="0.45">
      <c r="A352" s="107" t="s">
        <v>586</v>
      </c>
      <c r="B352" s="108"/>
      <c r="C352" s="108"/>
      <c r="D352" s="108"/>
      <c r="E352" s="68">
        <f t="shared" ref="E352" si="144">SUM(E349:E351)</f>
        <v>2305.8007888888887</v>
      </c>
      <c r="F352" s="3"/>
      <c r="G352" s="3"/>
      <c r="H352" s="3"/>
      <c r="I352" s="3"/>
      <c r="J352" s="3"/>
      <c r="K352" s="3"/>
      <c r="L352" s="3"/>
      <c r="M352" s="3"/>
    </row>
    <row r="353" spans="1:13" ht="18.600000000000001" thickBot="1" x14ac:dyDescent="0.5">
      <c r="A353" s="101" t="s">
        <v>587</v>
      </c>
      <c r="B353" s="102"/>
      <c r="C353" s="102"/>
      <c r="D353" s="102"/>
      <c r="E353" s="69">
        <f t="shared" ref="E353" si="145">E343+E348+E352</f>
        <v>4665.7291136888889</v>
      </c>
      <c r="F353" s="3"/>
      <c r="G353" s="3"/>
      <c r="H353" s="3"/>
      <c r="I353" s="3"/>
      <c r="J353" s="3"/>
      <c r="K353" s="3"/>
      <c r="L353" s="3"/>
      <c r="M353" s="3"/>
    </row>
    <row r="354" spans="1:13" x14ac:dyDescent="0.4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4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4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4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4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8.600000000000001" thickBot="1" x14ac:dyDescent="0.5">
      <c r="A359" s="10" t="s">
        <v>588</v>
      </c>
      <c r="B359" s="61"/>
      <c r="C359" s="61"/>
      <c r="D359" s="61"/>
      <c r="E359" s="61"/>
      <c r="F359" s="61"/>
      <c r="G359" s="61"/>
      <c r="H359" s="100" t="s">
        <v>1</v>
      </c>
      <c r="I359" s="100"/>
      <c r="J359" s="3"/>
      <c r="K359" s="3"/>
      <c r="L359" s="3"/>
      <c r="M359" s="3"/>
    </row>
    <row r="360" spans="1:13" x14ac:dyDescent="0.45">
      <c r="A360" s="117" t="s">
        <v>576</v>
      </c>
      <c r="B360" s="118"/>
      <c r="C360" s="118"/>
      <c r="D360" s="118"/>
      <c r="E360" s="119"/>
      <c r="F360" s="120" t="s">
        <v>577</v>
      </c>
      <c r="G360" s="121"/>
      <c r="H360" s="121"/>
      <c r="I360" s="122"/>
      <c r="J360" s="3"/>
      <c r="K360" s="44" t="s">
        <v>590</v>
      </c>
      <c r="L360" s="39">
        <f>損益分岐点!$M$2</f>
        <v>10</v>
      </c>
      <c r="M360" s="3" t="s">
        <v>465</v>
      </c>
    </row>
    <row r="361" spans="1:13" x14ac:dyDescent="0.45">
      <c r="A361" s="123" t="s">
        <v>578</v>
      </c>
      <c r="B361" s="124"/>
      <c r="C361" s="124"/>
      <c r="D361" s="124"/>
      <c r="E361" s="65" t="s">
        <v>0</v>
      </c>
      <c r="F361" s="125" t="s">
        <v>578</v>
      </c>
      <c r="G361" s="124"/>
      <c r="H361" s="124"/>
      <c r="I361" s="65" t="s">
        <v>0</v>
      </c>
      <c r="J361" s="3"/>
      <c r="K361" s="58" t="s">
        <v>589</v>
      </c>
      <c r="L361" s="74">
        <f>$T$4</f>
        <v>2</v>
      </c>
      <c r="M361" s="3" t="s">
        <v>594</v>
      </c>
    </row>
    <row r="362" spans="1:13" ht="18.600000000000001" thickBot="1" x14ac:dyDescent="0.5">
      <c r="A362" s="116" t="s">
        <v>3</v>
      </c>
      <c r="B362" s="115"/>
      <c r="C362" s="115"/>
      <c r="D362" s="115"/>
      <c r="E362" s="67">
        <f>IF(真実の家賃!$L$1=TRUE,計算用1!E361,計算用2!E361)</f>
        <v>0</v>
      </c>
      <c r="F362" s="114" t="s">
        <v>7</v>
      </c>
      <c r="G362" s="115"/>
      <c r="H362" s="115"/>
      <c r="I362" s="70">
        <f t="shared" ref="I362" si="146">L360*5*L361</f>
        <v>100</v>
      </c>
      <c r="J362" s="3"/>
      <c r="K362" s="73" t="s">
        <v>628</v>
      </c>
      <c r="L362" s="72">
        <v>18</v>
      </c>
      <c r="M362" s="3" t="s">
        <v>468</v>
      </c>
    </row>
    <row r="363" spans="1:13" x14ac:dyDescent="0.45">
      <c r="A363" s="116" t="s">
        <v>6</v>
      </c>
      <c r="B363" s="115"/>
      <c r="C363" s="115"/>
      <c r="D363" s="115"/>
      <c r="E363" s="67">
        <f>IF(真実の家賃!$L$1=TRUE,計算用1!E362,計算用2!E362)</f>
        <v>238.79999999999998</v>
      </c>
      <c r="F363" s="111" t="s">
        <v>579</v>
      </c>
      <c r="G363" s="112"/>
      <c r="H363" s="112"/>
      <c r="I363" s="71">
        <f t="shared" ref="I363" si="147">I362</f>
        <v>100</v>
      </c>
      <c r="J363" s="3"/>
      <c r="K363" s="3"/>
      <c r="L363" s="3"/>
      <c r="M363" s="3"/>
    </row>
    <row r="364" spans="1:13" x14ac:dyDescent="0.45">
      <c r="A364" s="113" t="s">
        <v>579</v>
      </c>
      <c r="B364" s="112"/>
      <c r="C364" s="112"/>
      <c r="D364" s="112"/>
      <c r="E364" s="68">
        <f t="shared" ref="E364" si="148">SUM(E362:E363)</f>
        <v>238.79999999999998</v>
      </c>
      <c r="F364" s="114" t="s">
        <v>583</v>
      </c>
      <c r="G364" s="115"/>
      <c r="H364" s="115"/>
      <c r="I364" s="70">
        <f t="shared" ref="I364" si="149">L362*12*L360</f>
        <v>2160</v>
      </c>
      <c r="J364" s="3"/>
      <c r="K364" s="3"/>
      <c r="L364" s="3"/>
      <c r="M364" s="3"/>
    </row>
    <row r="365" spans="1:13" x14ac:dyDescent="0.45">
      <c r="A365" s="116" t="s">
        <v>580</v>
      </c>
      <c r="B365" s="115"/>
      <c r="C365" s="115"/>
      <c r="D365" s="115"/>
      <c r="E365" s="67">
        <f>IF(真実の家賃!$L$1=TRUE,計算用1!E364,計算用2!E364)</f>
        <v>2289.0383999999999</v>
      </c>
      <c r="F365" s="114" t="s">
        <v>596</v>
      </c>
      <c r="G365" s="115"/>
      <c r="H365" s="115"/>
      <c r="I365" s="70">
        <f>_xlfn.SWITCH(L362,1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90</v>
      </c>
      <c r="J365" s="3"/>
      <c r="K365" s="3"/>
      <c r="L365" s="3"/>
      <c r="M365" s="3"/>
    </row>
    <row r="366" spans="1:13" x14ac:dyDescent="0.45">
      <c r="A366" s="105" t="s">
        <v>581</v>
      </c>
      <c r="B366" s="106"/>
      <c r="C366" s="106"/>
      <c r="D366" s="106"/>
      <c r="E366" s="67">
        <f>IF(真実の家賃!$L$1=TRUE,計算用1!E365,計算用2!E365)</f>
        <v>270</v>
      </c>
      <c r="F366" s="111" t="s">
        <v>582</v>
      </c>
      <c r="G366" s="112"/>
      <c r="H366" s="112"/>
      <c r="I366" s="71">
        <f t="shared" ref="I366" si="150">SUM(I364:I365)</f>
        <v>2250</v>
      </c>
      <c r="J366" s="3"/>
      <c r="K366" s="3"/>
      <c r="L366" s="3"/>
      <c r="M366" s="3"/>
    </row>
    <row r="367" spans="1:13" x14ac:dyDescent="0.45">
      <c r="A367" s="116" t="s">
        <v>9</v>
      </c>
      <c r="B367" s="115"/>
      <c r="C367" s="115"/>
      <c r="D367" s="115"/>
      <c r="E367" s="67">
        <f>IF(真実の家賃!$L$1=TRUE,計算用1!E366,計算用2!E366)</f>
        <v>-295.74127519999996</v>
      </c>
      <c r="F367" s="110" t="s">
        <v>585</v>
      </c>
      <c r="G367" s="106"/>
      <c r="H367" s="106"/>
      <c r="I367" s="70">
        <f t="shared" ref="I367" si="151">15*L361</f>
        <v>30</v>
      </c>
      <c r="J367" s="3"/>
      <c r="K367" s="3"/>
      <c r="L367" s="3"/>
      <c r="M367" s="3"/>
    </row>
    <row r="368" spans="1:13" x14ac:dyDescent="0.45">
      <c r="A368" s="105" t="s">
        <v>10</v>
      </c>
      <c r="B368" s="106"/>
      <c r="C368" s="106"/>
      <c r="D368" s="106"/>
      <c r="E368" s="67">
        <f>IF(真実の家賃!$L$1=TRUE,計算用1!E367,計算用2!E367)</f>
        <v>0</v>
      </c>
      <c r="F368" s="109" t="s">
        <v>586</v>
      </c>
      <c r="G368" s="108"/>
      <c r="H368" s="108"/>
      <c r="I368" s="71">
        <f t="shared" ref="I368" si="152">I367</f>
        <v>30</v>
      </c>
      <c r="J368" s="3"/>
      <c r="K368" s="3"/>
      <c r="L368" s="3"/>
      <c r="M368" s="3"/>
    </row>
    <row r="369" spans="1:13" ht="18.600000000000001" thickBot="1" x14ac:dyDescent="0.5">
      <c r="A369" s="113" t="s">
        <v>582</v>
      </c>
      <c r="B369" s="112"/>
      <c r="C369" s="112"/>
      <c r="D369" s="112"/>
      <c r="E369" s="68">
        <f t="shared" ref="E369" si="153">E365+E366+E367+E368</f>
        <v>2263.2971247999999</v>
      </c>
      <c r="F369" s="103" t="s">
        <v>587</v>
      </c>
      <c r="G369" s="104"/>
      <c r="H369" s="104"/>
      <c r="I369" s="66">
        <f t="shared" ref="I369" si="154">I363+I366+I368</f>
        <v>2380</v>
      </c>
      <c r="J369" s="3"/>
      <c r="K369" s="3"/>
      <c r="L369" s="3"/>
      <c r="M369" s="3"/>
    </row>
    <row r="370" spans="1:13" x14ac:dyDescent="0.45">
      <c r="A370" s="105" t="s">
        <v>12</v>
      </c>
      <c r="B370" s="106"/>
      <c r="C370" s="106"/>
      <c r="D370" s="106"/>
      <c r="E370" s="67">
        <f>IF(真実の家賃!$L$1=TRUE,計算用1!E369,計算用2!E369)</f>
        <v>2046.2128</v>
      </c>
      <c r="F370" s="3"/>
      <c r="G370" s="3"/>
      <c r="H370" s="3"/>
      <c r="I370" s="3"/>
      <c r="J370" s="3"/>
      <c r="K370" s="3"/>
      <c r="L370" s="3"/>
      <c r="M370" s="3"/>
    </row>
    <row r="371" spans="1:13" x14ac:dyDescent="0.45">
      <c r="A371" s="105" t="s">
        <v>584</v>
      </c>
      <c r="B371" s="106"/>
      <c r="C371" s="106"/>
      <c r="D371" s="106"/>
      <c r="E371" s="67">
        <f>IF(真実の家賃!$L$1=TRUE,計算用1!E370,計算用2!E370)</f>
        <v>128.24444444444438</v>
      </c>
      <c r="F371" s="3"/>
      <c r="G371" s="3"/>
      <c r="H371" s="3"/>
      <c r="I371" s="3"/>
      <c r="J371" s="3"/>
      <c r="K371" s="3"/>
      <c r="L371" s="3"/>
      <c r="M371" s="3"/>
    </row>
    <row r="372" spans="1:13" x14ac:dyDescent="0.45">
      <c r="A372" s="105" t="s">
        <v>585</v>
      </c>
      <c r="B372" s="106"/>
      <c r="C372" s="106"/>
      <c r="D372" s="106"/>
      <c r="E372" s="67">
        <f>$T$8</f>
        <v>15</v>
      </c>
      <c r="F372" s="3"/>
      <c r="G372" s="3"/>
      <c r="H372" s="3"/>
      <c r="I372" s="3"/>
      <c r="J372" s="3"/>
      <c r="K372" s="3"/>
      <c r="L372" s="3"/>
      <c r="M372" s="3"/>
    </row>
    <row r="373" spans="1:13" x14ac:dyDescent="0.45">
      <c r="A373" s="107" t="s">
        <v>586</v>
      </c>
      <c r="B373" s="108"/>
      <c r="C373" s="108"/>
      <c r="D373" s="108"/>
      <c r="E373" s="68">
        <f t="shared" ref="E373" si="155">SUM(E370:E372)</f>
        <v>2189.4572444444443</v>
      </c>
      <c r="F373" s="3"/>
      <c r="G373" s="3"/>
      <c r="H373" s="3"/>
      <c r="I373" s="3"/>
      <c r="J373" s="3"/>
      <c r="K373" s="3"/>
      <c r="L373" s="3"/>
      <c r="M373" s="3"/>
    </row>
    <row r="374" spans="1:13" ht="18.600000000000001" thickBot="1" x14ac:dyDescent="0.5">
      <c r="A374" s="101" t="s">
        <v>587</v>
      </c>
      <c r="B374" s="102"/>
      <c r="C374" s="102"/>
      <c r="D374" s="102"/>
      <c r="E374" s="69">
        <f t="shared" ref="E374" si="156">E364+E369+E373</f>
        <v>4691.5543692444444</v>
      </c>
      <c r="F374" s="3"/>
      <c r="G374" s="3"/>
      <c r="H374" s="3"/>
      <c r="I374" s="3"/>
      <c r="J374" s="3"/>
      <c r="K374" s="3"/>
      <c r="L374" s="3"/>
      <c r="M374" s="3"/>
    </row>
    <row r="375" spans="1:13" x14ac:dyDescent="0.4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4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4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4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4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8.600000000000001" thickBot="1" x14ac:dyDescent="0.5">
      <c r="A380" s="10" t="s">
        <v>588</v>
      </c>
      <c r="B380" s="61"/>
      <c r="C380" s="61"/>
      <c r="D380" s="61"/>
      <c r="E380" s="61"/>
      <c r="F380" s="61"/>
      <c r="G380" s="61"/>
      <c r="H380" s="100" t="s">
        <v>1</v>
      </c>
      <c r="I380" s="100"/>
      <c r="J380" s="3"/>
      <c r="K380" s="3"/>
      <c r="L380" s="3"/>
      <c r="M380" s="3"/>
    </row>
    <row r="381" spans="1:13" x14ac:dyDescent="0.45">
      <c r="A381" s="117" t="s">
        <v>576</v>
      </c>
      <c r="B381" s="118"/>
      <c r="C381" s="118"/>
      <c r="D381" s="118"/>
      <c r="E381" s="119"/>
      <c r="F381" s="120" t="s">
        <v>577</v>
      </c>
      <c r="G381" s="121"/>
      <c r="H381" s="121"/>
      <c r="I381" s="122"/>
      <c r="J381" s="3"/>
      <c r="K381" s="44" t="s">
        <v>590</v>
      </c>
      <c r="L381" s="39">
        <f>損益分岐点!$M$2</f>
        <v>10</v>
      </c>
      <c r="M381" s="3" t="s">
        <v>465</v>
      </c>
    </row>
    <row r="382" spans="1:13" x14ac:dyDescent="0.45">
      <c r="A382" s="123" t="s">
        <v>578</v>
      </c>
      <c r="B382" s="124"/>
      <c r="C382" s="124"/>
      <c r="D382" s="124"/>
      <c r="E382" s="65" t="s">
        <v>0</v>
      </c>
      <c r="F382" s="125" t="s">
        <v>578</v>
      </c>
      <c r="G382" s="124"/>
      <c r="H382" s="124"/>
      <c r="I382" s="65" t="s">
        <v>0</v>
      </c>
      <c r="J382" s="3"/>
      <c r="K382" s="58" t="s">
        <v>589</v>
      </c>
      <c r="L382" s="74">
        <f>$T$4</f>
        <v>2</v>
      </c>
      <c r="M382" s="3" t="s">
        <v>594</v>
      </c>
    </row>
    <row r="383" spans="1:13" ht="18.600000000000001" thickBot="1" x14ac:dyDescent="0.5">
      <c r="A383" s="116" t="s">
        <v>3</v>
      </c>
      <c r="B383" s="115"/>
      <c r="C383" s="115"/>
      <c r="D383" s="115"/>
      <c r="E383" s="67">
        <f>IF(真実の家賃!$L$1=TRUE,計算用1!E382,計算用2!E382)</f>
        <v>0</v>
      </c>
      <c r="F383" s="114" t="s">
        <v>7</v>
      </c>
      <c r="G383" s="115"/>
      <c r="H383" s="115"/>
      <c r="I383" s="70">
        <f t="shared" ref="I383" si="157">L381*5*L382</f>
        <v>100</v>
      </c>
      <c r="J383" s="3"/>
      <c r="K383" s="73" t="s">
        <v>628</v>
      </c>
      <c r="L383" s="72">
        <v>19</v>
      </c>
      <c r="M383" s="3" t="s">
        <v>468</v>
      </c>
    </row>
    <row r="384" spans="1:13" x14ac:dyDescent="0.45">
      <c r="A384" s="116" t="s">
        <v>6</v>
      </c>
      <c r="B384" s="115"/>
      <c r="C384" s="115"/>
      <c r="D384" s="115"/>
      <c r="E384" s="67">
        <f>IF(真実の家賃!$L$1=TRUE,計算用1!E383,計算用2!E383)</f>
        <v>238.79999999999998</v>
      </c>
      <c r="F384" s="111" t="s">
        <v>579</v>
      </c>
      <c r="G384" s="112"/>
      <c r="H384" s="112"/>
      <c r="I384" s="71">
        <f t="shared" ref="I384" si="158">I383</f>
        <v>100</v>
      </c>
      <c r="J384" s="3"/>
      <c r="K384" s="3"/>
      <c r="L384" s="3"/>
      <c r="M384" s="3"/>
    </row>
    <row r="385" spans="1:13" x14ac:dyDescent="0.45">
      <c r="A385" s="113" t="s">
        <v>579</v>
      </c>
      <c r="B385" s="112"/>
      <c r="C385" s="112"/>
      <c r="D385" s="112"/>
      <c r="E385" s="68">
        <f t="shared" ref="E385" si="159">SUM(E383:E384)</f>
        <v>238.79999999999998</v>
      </c>
      <c r="F385" s="114" t="s">
        <v>583</v>
      </c>
      <c r="G385" s="115"/>
      <c r="H385" s="115"/>
      <c r="I385" s="70">
        <f t="shared" ref="I385" si="160">L383*12*L381</f>
        <v>2280</v>
      </c>
      <c r="J385" s="3"/>
      <c r="K385" s="3"/>
      <c r="L385" s="3"/>
      <c r="M385" s="3"/>
    </row>
    <row r="386" spans="1:13" x14ac:dyDescent="0.45">
      <c r="A386" s="116" t="s">
        <v>580</v>
      </c>
      <c r="B386" s="115"/>
      <c r="C386" s="115"/>
      <c r="D386" s="115"/>
      <c r="E386" s="67">
        <f>IF(真実の家賃!$L$1=TRUE,計算用1!E385,計算用2!E385)</f>
        <v>2416.2071999999998</v>
      </c>
      <c r="F386" s="114" t="s">
        <v>596</v>
      </c>
      <c r="G386" s="115"/>
      <c r="H386" s="115"/>
      <c r="I386" s="70">
        <f>_xlfn.SWITCH(L383,1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90</v>
      </c>
      <c r="J386" s="3"/>
      <c r="K386" s="3"/>
      <c r="L386" s="3"/>
      <c r="M386" s="3"/>
    </row>
    <row r="387" spans="1:13" x14ac:dyDescent="0.45">
      <c r="A387" s="105" t="s">
        <v>581</v>
      </c>
      <c r="B387" s="106"/>
      <c r="C387" s="106"/>
      <c r="D387" s="106"/>
      <c r="E387" s="67">
        <f>IF(真実の家賃!$L$1=TRUE,計算用1!E386,計算用2!E386)</f>
        <v>285</v>
      </c>
      <c r="F387" s="111" t="s">
        <v>582</v>
      </c>
      <c r="G387" s="112"/>
      <c r="H387" s="112"/>
      <c r="I387" s="71">
        <f t="shared" ref="I387" si="161">SUM(I385:I386)</f>
        <v>2370</v>
      </c>
      <c r="J387" s="3"/>
      <c r="K387" s="3"/>
      <c r="L387" s="3"/>
      <c r="M387" s="3"/>
    </row>
    <row r="388" spans="1:13" x14ac:dyDescent="0.45">
      <c r="A388" s="116" t="s">
        <v>9</v>
      </c>
      <c r="B388" s="115"/>
      <c r="C388" s="115"/>
      <c r="D388" s="115"/>
      <c r="E388" s="67">
        <f>IF(真実の家賃!$L$1=TRUE,計算用1!E387,計算用2!E387)</f>
        <v>-295.74127519999996</v>
      </c>
      <c r="F388" s="110" t="s">
        <v>585</v>
      </c>
      <c r="G388" s="106"/>
      <c r="H388" s="106"/>
      <c r="I388" s="70">
        <f t="shared" ref="I388" si="162">15*L382</f>
        <v>30</v>
      </c>
      <c r="J388" s="3"/>
      <c r="K388" s="3"/>
      <c r="L388" s="3"/>
      <c r="M388" s="3"/>
    </row>
    <row r="389" spans="1:13" x14ac:dyDescent="0.45">
      <c r="A389" s="105" t="s">
        <v>10</v>
      </c>
      <c r="B389" s="106"/>
      <c r="C389" s="106"/>
      <c r="D389" s="106"/>
      <c r="E389" s="67">
        <f>IF(真実の家賃!$L$1=TRUE,計算用1!E388,計算用2!E388)</f>
        <v>0</v>
      </c>
      <c r="F389" s="109" t="s">
        <v>586</v>
      </c>
      <c r="G389" s="108"/>
      <c r="H389" s="108"/>
      <c r="I389" s="71">
        <f t="shared" ref="I389" si="163">I388</f>
        <v>30</v>
      </c>
      <c r="J389" s="3"/>
      <c r="K389" s="3"/>
      <c r="L389" s="3"/>
      <c r="M389" s="3"/>
    </row>
    <row r="390" spans="1:13" ht="18.600000000000001" thickBot="1" x14ac:dyDescent="0.5">
      <c r="A390" s="113" t="s">
        <v>582</v>
      </c>
      <c r="B390" s="112"/>
      <c r="C390" s="112"/>
      <c r="D390" s="112"/>
      <c r="E390" s="68">
        <f t="shared" ref="E390" si="164">E386+E387+E388+E389</f>
        <v>2405.4659247999998</v>
      </c>
      <c r="F390" s="103" t="s">
        <v>587</v>
      </c>
      <c r="G390" s="104"/>
      <c r="H390" s="104"/>
      <c r="I390" s="66">
        <f t="shared" ref="I390" si="165">I384+I387+I389</f>
        <v>2500</v>
      </c>
      <c r="J390" s="3"/>
      <c r="K390" s="3"/>
      <c r="L390" s="3"/>
      <c r="M390" s="3"/>
    </row>
    <row r="391" spans="1:13" x14ac:dyDescent="0.45">
      <c r="A391" s="105" t="s">
        <v>12</v>
      </c>
      <c r="B391" s="106"/>
      <c r="C391" s="106"/>
      <c r="D391" s="106"/>
      <c r="E391" s="67">
        <f>IF(真実の家賃!$L$1=TRUE,計算用1!E390,計算用2!E390)</f>
        <v>1932.0038999999999</v>
      </c>
      <c r="F391" s="3"/>
      <c r="G391" s="3"/>
      <c r="H391" s="3"/>
      <c r="I391" s="3"/>
      <c r="J391" s="3"/>
      <c r="K391" s="3"/>
      <c r="L391" s="3"/>
      <c r="M391" s="3"/>
    </row>
    <row r="392" spans="1:13" x14ac:dyDescent="0.45">
      <c r="A392" s="105" t="s">
        <v>584</v>
      </c>
      <c r="B392" s="106"/>
      <c r="C392" s="106"/>
      <c r="D392" s="106"/>
      <c r="E392" s="67">
        <f>IF(真実の家賃!$L$1=TRUE,計算用1!E391,計算用2!E391)</f>
        <v>125.36999999999995</v>
      </c>
      <c r="F392" s="3"/>
      <c r="G392" s="3"/>
      <c r="H392" s="3"/>
      <c r="I392" s="3"/>
      <c r="J392" s="3"/>
      <c r="K392" s="3"/>
      <c r="L392" s="3"/>
      <c r="M392" s="3"/>
    </row>
    <row r="393" spans="1:13" x14ac:dyDescent="0.45">
      <c r="A393" s="105" t="s">
        <v>585</v>
      </c>
      <c r="B393" s="106"/>
      <c r="C393" s="106"/>
      <c r="D393" s="106"/>
      <c r="E393" s="67">
        <f>$T$8</f>
        <v>15</v>
      </c>
      <c r="F393" s="3"/>
      <c r="G393" s="3"/>
      <c r="H393" s="3"/>
      <c r="I393" s="3"/>
      <c r="J393" s="3"/>
      <c r="K393" s="3"/>
      <c r="L393" s="3"/>
      <c r="M393" s="3"/>
    </row>
    <row r="394" spans="1:13" x14ac:dyDescent="0.45">
      <c r="A394" s="107" t="s">
        <v>586</v>
      </c>
      <c r="B394" s="108"/>
      <c r="C394" s="108"/>
      <c r="D394" s="108"/>
      <c r="E394" s="68">
        <f t="shared" ref="E394" si="166">SUM(E391:E393)</f>
        <v>2072.3739</v>
      </c>
      <c r="F394" s="3"/>
      <c r="G394" s="3"/>
      <c r="H394" s="3"/>
      <c r="I394" s="3"/>
      <c r="J394" s="3"/>
      <c r="K394" s="3"/>
      <c r="L394" s="3"/>
      <c r="M394" s="3"/>
    </row>
    <row r="395" spans="1:13" ht="18.600000000000001" thickBot="1" x14ac:dyDescent="0.5">
      <c r="A395" s="101" t="s">
        <v>587</v>
      </c>
      <c r="B395" s="102"/>
      <c r="C395" s="102"/>
      <c r="D395" s="102"/>
      <c r="E395" s="69">
        <f t="shared" ref="E395" si="167">E385+E390+E394</f>
        <v>4716.6398248000005</v>
      </c>
      <c r="F395" s="3"/>
      <c r="G395" s="3"/>
      <c r="H395" s="3"/>
      <c r="I395" s="3"/>
      <c r="J395" s="3"/>
      <c r="K395" s="3"/>
      <c r="L395" s="3"/>
      <c r="M395" s="3"/>
    </row>
    <row r="396" spans="1:13" x14ac:dyDescent="0.4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4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4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4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4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8.600000000000001" thickBot="1" x14ac:dyDescent="0.5">
      <c r="A401" s="10" t="s">
        <v>588</v>
      </c>
      <c r="B401" s="61"/>
      <c r="C401" s="61"/>
      <c r="D401" s="61"/>
      <c r="E401" s="61"/>
      <c r="F401" s="61"/>
      <c r="G401" s="61"/>
      <c r="H401" s="100" t="s">
        <v>1</v>
      </c>
      <c r="I401" s="100"/>
      <c r="J401" s="3"/>
      <c r="K401" s="3"/>
      <c r="L401" s="3"/>
      <c r="M401" s="3"/>
    </row>
    <row r="402" spans="1:13" x14ac:dyDescent="0.45">
      <c r="A402" s="117" t="s">
        <v>576</v>
      </c>
      <c r="B402" s="118"/>
      <c r="C402" s="118"/>
      <c r="D402" s="118"/>
      <c r="E402" s="119"/>
      <c r="F402" s="120" t="s">
        <v>577</v>
      </c>
      <c r="G402" s="121"/>
      <c r="H402" s="121"/>
      <c r="I402" s="122"/>
      <c r="J402" s="3"/>
      <c r="K402" s="44" t="s">
        <v>590</v>
      </c>
      <c r="L402" s="39">
        <f>損益分岐点!$M$2</f>
        <v>10</v>
      </c>
      <c r="M402" s="3" t="s">
        <v>465</v>
      </c>
    </row>
    <row r="403" spans="1:13" x14ac:dyDescent="0.45">
      <c r="A403" s="123" t="s">
        <v>578</v>
      </c>
      <c r="B403" s="124"/>
      <c r="C403" s="124"/>
      <c r="D403" s="124"/>
      <c r="E403" s="65" t="s">
        <v>0</v>
      </c>
      <c r="F403" s="125" t="s">
        <v>578</v>
      </c>
      <c r="G403" s="124"/>
      <c r="H403" s="124"/>
      <c r="I403" s="65" t="s">
        <v>0</v>
      </c>
      <c r="J403" s="3"/>
      <c r="K403" s="58" t="s">
        <v>589</v>
      </c>
      <c r="L403" s="74">
        <f>$T$4</f>
        <v>2</v>
      </c>
      <c r="M403" s="3" t="s">
        <v>594</v>
      </c>
    </row>
    <row r="404" spans="1:13" ht="18.600000000000001" thickBot="1" x14ac:dyDescent="0.5">
      <c r="A404" s="116" t="s">
        <v>3</v>
      </c>
      <c r="B404" s="115"/>
      <c r="C404" s="115"/>
      <c r="D404" s="115"/>
      <c r="E404" s="67">
        <f>IF(真実の家賃!$L$1=TRUE,計算用1!E403,計算用2!E403)</f>
        <v>0</v>
      </c>
      <c r="F404" s="114" t="s">
        <v>7</v>
      </c>
      <c r="G404" s="115"/>
      <c r="H404" s="115"/>
      <c r="I404" s="70">
        <f t="shared" ref="I404" si="168">L402*5*L403</f>
        <v>100</v>
      </c>
      <c r="J404" s="3"/>
      <c r="K404" s="73" t="s">
        <v>628</v>
      </c>
      <c r="L404" s="72">
        <v>20</v>
      </c>
      <c r="M404" s="3" t="s">
        <v>468</v>
      </c>
    </row>
    <row r="405" spans="1:13" x14ac:dyDescent="0.45">
      <c r="A405" s="116" t="s">
        <v>6</v>
      </c>
      <c r="B405" s="115"/>
      <c r="C405" s="115"/>
      <c r="D405" s="115"/>
      <c r="E405" s="67">
        <f>IF(真実の家賃!$L$1=TRUE,計算用1!E404,計算用2!E404)</f>
        <v>238.79999999999998</v>
      </c>
      <c r="F405" s="111" t="s">
        <v>579</v>
      </c>
      <c r="G405" s="112"/>
      <c r="H405" s="112"/>
      <c r="I405" s="71">
        <f t="shared" ref="I405" si="169">I404</f>
        <v>100</v>
      </c>
      <c r="J405" s="3"/>
      <c r="K405" s="3"/>
      <c r="L405" s="3"/>
      <c r="M405" s="3"/>
    </row>
    <row r="406" spans="1:13" x14ac:dyDescent="0.45">
      <c r="A406" s="113" t="s">
        <v>579</v>
      </c>
      <c r="B406" s="112"/>
      <c r="C406" s="112"/>
      <c r="D406" s="112"/>
      <c r="E406" s="68">
        <f t="shared" ref="E406" si="170">SUM(E404:E405)</f>
        <v>238.79999999999998</v>
      </c>
      <c r="F406" s="114" t="s">
        <v>583</v>
      </c>
      <c r="G406" s="115"/>
      <c r="H406" s="115"/>
      <c r="I406" s="70">
        <f t="shared" ref="I406" si="171">L404*12*L402</f>
        <v>2400</v>
      </c>
      <c r="J406" s="3"/>
      <c r="K406" s="3"/>
      <c r="L406" s="3"/>
      <c r="M406" s="3"/>
    </row>
    <row r="407" spans="1:13" x14ac:dyDescent="0.45">
      <c r="A407" s="116" t="s">
        <v>580</v>
      </c>
      <c r="B407" s="115"/>
      <c r="C407" s="115"/>
      <c r="D407" s="115"/>
      <c r="E407" s="67">
        <f>IF(真実の家賃!$L$1=TRUE,計算用1!E406,計算用2!E406)</f>
        <v>2543.3760000000002</v>
      </c>
      <c r="F407" s="114" t="s">
        <v>596</v>
      </c>
      <c r="G407" s="115"/>
      <c r="H407" s="115"/>
      <c r="I407" s="70">
        <f>_xlfn.SWITCH(L404,1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100</v>
      </c>
      <c r="J407" s="3"/>
      <c r="K407" s="3"/>
      <c r="L407" s="3"/>
      <c r="M407" s="3"/>
    </row>
    <row r="408" spans="1:13" x14ac:dyDescent="0.45">
      <c r="A408" s="105" t="s">
        <v>581</v>
      </c>
      <c r="B408" s="106"/>
      <c r="C408" s="106"/>
      <c r="D408" s="106"/>
      <c r="E408" s="67">
        <f>IF(真実の家賃!$L$1=TRUE,計算用1!E407,計算用2!E407)</f>
        <v>300</v>
      </c>
      <c r="F408" s="111" t="s">
        <v>582</v>
      </c>
      <c r="G408" s="112"/>
      <c r="H408" s="112"/>
      <c r="I408" s="71">
        <f t="shared" ref="I408" si="172">SUM(I406:I407)</f>
        <v>2500</v>
      </c>
      <c r="J408" s="3"/>
      <c r="K408" s="3"/>
      <c r="L408" s="3"/>
      <c r="M408" s="3"/>
    </row>
    <row r="409" spans="1:13" x14ac:dyDescent="0.45">
      <c r="A409" s="116" t="s">
        <v>9</v>
      </c>
      <c r="B409" s="115"/>
      <c r="C409" s="115"/>
      <c r="D409" s="115"/>
      <c r="E409" s="67">
        <f>IF(真実の家賃!$L$1=TRUE,計算用1!E408,計算用2!E408)</f>
        <v>-295.74127519999996</v>
      </c>
      <c r="F409" s="110" t="s">
        <v>585</v>
      </c>
      <c r="G409" s="106"/>
      <c r="H409" s="106"/>
      <c r="I409" s="70">
        <f t="shared" ref="I409" si="173">15*L403</f>
        <v>30</v>
      </c>
      <c r="J409" s="3"/>
      <c r="K409" s="3"/>
      <c r="L409" s="3"/>
      <c r="M409" s="3"/>
    </row>
    <row r="410" spans="1:13" x14ac:dyDescent="0.45">
      <c r="A410" s="105" t="s">
        <v>10</v>
      </c>
      <c r="B410" s="106"/>
      <c r="C410" s="106"/>
      <c r="D410" s="106"/>
      <c r="E410" s="67">
        <f>IF(真実の家賃!$L$1=TRUE,計算用1!E409,計算用2!E409)</f>
        <v>0</v>
      </c>
      <c r="F410" s="109" t="s">
        <v>586</v>
      </c>
      <c r="G410" s="108"/>
      <c r="H410" s="108"/>
      <c r="I410" s="71">
        <f t="shared" ref="I410" si="174">I409</f>
        <v>30</v>
      </c>
      <c r="J410" s="3"/>
      <c r="K410" s="3"/>
      <c r="L410" s="3"/>
      <c r="M410" s="3"/>
    </row>
    <row r="411" spans="1:13" ht="18.600000000000001" thickBot="1" x14ac:dyDescent="0.5">
      <c r="A411" s="113" t="s">
        <v>582</v>
      </c>
      <c r="B411" s="112"/>
      <c r="C411" s="112"/>
      <c r="D411" s="112"/>
      <c r="E411" s="68">
        <f t="shared" ref="E411" si="175">E407+E408+E409+E410</f>
        <v>2547.6347248000002</v>
      </c>
      <c r="F411" s="103" t="s">
        <v>587</v>
      </c>
      <c r="G411" s="104"/>
      <c r="H411" s="104"/>
      <c r="I411" s="66">
        <f t="shared" ref="I411" si="176">I405+I408+I410</f>
        <v>2630</v>
      </c>
      <c r="J411" s="3"/>
      <c r="K411" s="3"/>
      <c r="L411" s="3"/>
      <c r="M411" s="3"/>
    </row>
    <row r="412" spans="1:13" x14ac:dyDescent="0.45">
      <c r="A412" s="105" t="s">
        <v>12</v>
      </c>
      <c r="B412" s="106"/>
      <c r="C412" s="106"/>
      <c r="D412" s="106"/>
      <c r="E412" s="67">
        <f>IF(真実の家賃!$L$1=TRUE,計算用1!E411,計算用2!E411)</f>
        <v>1817.0506</v>
      </c>
      <c r="F412" s="3"/>
      <c r="G412" s="3"/>
      <c r="H412" s="3"/>
      <c r="I412" s="3"/>
      <c r="J412" s="3"/>
      <c r="K412" s="3"/>
      <c r="L412" s="3"/>
      <c r="M412" s="3"/>
    </row>
    <row r="413" spans="1:13" x14ac:dyDescent="0.45">
      <c r="A413" s="105" t="s">
        <v>584</v>
      </c>
      <c r="B413" s="106"/>
      <c r="C413" s="106"/>
      <c r="D413" s="106"/>
      <c r="E413" s="67">
        <f>IF(真実の家賃!$L$1=TRUE,計算用1!E412,計算用2!E412)</f>
        <v>125.37</v>
      </c>
      <c r="F413" s="3"/>
      <c r="G413" s="3"/>
      <c r="H413" s="3"/>
      <c r="I413" s="3"/>
      <c r="J413" s="3"/>
      <c r="K413" s="3"/>
      <c r="L413" s="3"/>
      <c r="M413" s="3"/>
    </row>
    <row r="414" spans="1:13" x14ac:dyDescent="0.45">
      <c r="A414" s="105" t="s">
        <v>585</v>
      </c>
      <c r="B414" s="106"/>
      <c r="C414" s="106"/>
      <c r="D414" s="106"/>
      <c r="E414" s="67">
        <f>$T$8</f>
        <v>15</v>
      </c>
      <c r="F414" s="3"/>
      <c r="G414" s="3"/>
      <c r="H414" s="3"/>
      <c r="I414" s="3"/>
      <c r="J414" s="3"/>
      <c r="K414" s="3"/>
      <c r="L414" s="3"/>
      <c r="M414" s="3"/>
    </row>
    <row r="415" spans="1:13" x14ac:dyDescent="0.45">
      <c r="A415" s="107" t="s">
        <v>586</v>
      </c>
      <c r="B415" s="108"/>
      <c r="C415" s="108"/>
      <c r="D415" s="108"/>
      <c r="E415" s="68">
        <f t="shared" ref="E415" si="177">SUM(E412:E414)</f>
        <v>1957.4205999999999</v>
      </c>
      <c r="F415" s="3"/>
      <c r="G415" s="3"/>
      <c r="H415" s="3"/>
      <c r="I415" s="3"/>
      <c r="J415" s="3"/>
      <c r="K415" s="3"/>
      <c r="L415" s="3"/>
      <c r="M415" s="3"/>
    </row>
    <row r="416" spans="1:13" ht="18.600000000000001" thickBot="1" x14ac:dyDescent="0.5">
      <c r="A416" s="101" t="s">
        <v>587</v>
      </c>
      <c r="B416" s="102"/>
      <c r="C416" s="102"/>
      <c r="D416" s="102"/>
      <c r="E416" s="69">
        <f t="shared" ref="E416" si="178">E406+E411+E415</f>
        <v>4743.8553248000007</v>
      </c>
      <c r="F416" s="3"/>
      <c r="G416" s="3"/>
      <c r="H416" s="3"/>
      <c r="I416" s="3"/>
      <c r="J416" s="3"/>
      <c r="K416" s="3"/>
      <c r="L416" s="3"/>
      <c r="M416" s="3"/>
    </row>
    <row r="417" spans="1:13" x14ac:dyDescent="0.4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4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4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4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4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8.600000000000001" thickBot="1" x14ac:dyDescent="0.5">
      <c r="A422" s="10" t="s">
        <v>588</v>
      </c>
      <c r="B422" s="61"/>
      <c r="C422" s="61"/>
      <c r="D422" s="61"/>
      <c r="E422" s="61"/>
      <c r="F422" s="61"/>
      <c r="G422" s="61"/>
      <c r="H422" s="100" t="s">
        <v>1</v>
      </c>
      <c r="I422" s="100"/>
      <c r="J422" s="3"/>
      <c r="K422" s="3"/>
      <c r="L422" s="3"/>
      <c r="M422" s="3"/>
    </row>
    <row r="423" spans="1:13" x14ac:dyDescent="0.45">
      <c r="A423" s="117" t="s">
        <v>576</v>
      </c>
      <c r="B423" s="118"/>
      <c r="C423" s="118"/>
      <c r="D423" s="118"/>
      <c r="E423" s="119"/>
      <c r="F423" s="120" t="s">
        <v>577</v>
      </c>
      <c r="G423" s="121"/>
      <c r="H423" s="121"/>
      <c r="I423" s="122"/>
      <c r="J423" s="3"/>
      <c r="K423" s="44" t="s">
        <v>590</v>
      </c>
      <c r="L423" s="39">
        <f>損益分岐点!$M$2</f>
        <v>10</v>
      </c>
      <c r="M423" s="3" t="s">
        <v>465</v>
      </c>
    </row>
    <row r="424" spans="1:13" x14ac:dyDescent="0.45">
      <c r="A424" s="123" t="s">
        <v>578</v>
      </c>
      <c r="B424" s="124"/>
      <c r="C424" s="124"/>
      <c r="D424" s="124"/>
      <c r="E424" s="65" t="s">
        <v>0</v>
      </c>
      <c r="F424" s="125" t="s">
        <v>578</v>
      </c>
      <c r="G424" s="124"/>
      <c r="H424" s="124"/>
      <c r="I424" s="65" t="s">
        <v>0</v>
      </c>
      <c r="J424" s="3"/>
      <c r="K424" s="58" t="s">
        <v>589</v>
      </c>
      <c r="L424" s="74">
        <f>$T$4</f>
        <v>2</v>
      </c>
      <c r="M424" s="3" t="s">
        <v>594</v>
      </c>
    </row>
    <row r="425" spans="1:13" ht="18.600000000000001" thickBot="1" x14ac:dyDescent="0.5">
      <c r="A425" s="116" t="s">
        <v>3</v>
      </c>
      <c r="B425" s="115"/>
      <c r="C425" s="115"/>
      <c r="D425" s="115"/>
      <c r="E425" s="67">
        <f>IF(真実の家賃!$L$1=TRUE,計算用1!E424,計算用2!E424)</f>
        <v>0</v>
      </c>
      <c r="F425" s="114" t="s">
        <v>7</v>
      </c>
      <c r="G425" s="115"/>
      <c r="H425" s="115"/>
      <c r="I425" s="70">
        <f t="shared" ref="I425" si="179">L423*5*L424</f>
        <v>100</v>
      </c>
      <c r="J425" s="3"/>
      <c r="K425" s="73" t="s">
        <v>628</v>
      </c>
      <c r="L425" s="72">
        <v>21</v>
      </c>
      <c r="M425" s="3" t="s">
        <v>468</v>
      </c>
    </row>
    <row r="426" spans="1:13" x14ac:dyDescent="0.45">
      <c r="A426" s="116" t="s">
        <v>6</v>
      </c>
      <c r="B426" s="115"/>
      <c r="C426" s="115"/>
      <c r="D426" s="115"/>
      <c r="E426" s="67">
        <f>IF(真実の家賃!$L$1=TRUE,計算用1!E425,計算用2!E425)</f>
        <v>238.79999999999998</v>
      </c>
      <c r="F426" s="111" t="s">
        <v>579</v>
      </c>
      <c r="G426" s="112"/>
      <c r="H426" s="112"/>
      <c r="I426" s="71">
        <f t="shared" ref="I426" si="180">I425</f>
        <v>100</v>
      </c>
      <c r="J426" s="3"/>
      <c r="K426" s="3"/>
      <c r="L426" s="3"/>
      <c r="M426" s="3"/>
    </row>
    <row r="427" spans="1:13" x14ac:dyDescent="0.45">
      <c r="A427" s="113" t="s">
        <v>579</v>
      </c>
      <c r="B427" s="112"/>
      <c r="C427" s="112"/>
      <c r="D427" s="112"/>
      <c r="E427" s="68">
        <f t="shared" ref="E427" si="181">SUM(E425:E426)</f>
        <v>238.79999999999998</v>
      </c>
      <c r="F427" s="114" t="s">
        <v>583</v>
      </c>
      <c r="G427" s="115"/>
      <c r="H427" s="115"/>
      <c r="I427" s="70">
        <f t="shared" ref="I427" si="182">L425*12*L423</f>
        <v>2520</v>
      </c>
      <c r="J427" s="3"/>
      <c r="K427" s="3"/>
      <c r="L427" s="3"/>
      <c r="M427" s="3"/>
    </row>
    <row r="428" spans="1:13" x14ac:dyDescent="0.45">
      <c r="A428" s="116" t="s">
        <v>580</v>
      </c>
      <c r="B428" s="115"/>
      <c r="C428" s="115"/>
      <c r="D428" s="115"/>
      <c r="E428" s="67">
        <f>IF(真実の家賃!$L$1=TRUE,計算用1!E427,計算用2!E427)</f>
        <v>2670.5448000000001</v>
      </c>
      <c r="F428" s="114" t="s">
        <v>596</v>
      </c>
      <c r="G428" s="115"/>
      <c r="H428" s="115"/>
      <c r="I428" s="70">
        <f>_xlfn.SWITCH(L425,1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100</v>
      </c>
      <c r="J428" s="3"/>
      <c r="K428" s="3"/>
      <c r="L428" s="3"/>
      <c r="M428" s="3"/>
    </row>
    <row r="429" spans="1:13" x14ac:dyDescent="0.45">
      <c r="A429" s="105" t="s">
        <v>581</v>
      </c>
      <c r="B429" s="106"/>
      <c r="C429" s="106"/>
      <c r="D429" s="106"/>
      <c r="E429" s="67">
        <f>IF(真実の家賃!$L$1=TRUE,計算用1!E428,計算用2!E428)</f>
        <v>315</v>
      </c>
      <c r="F429" s="111" t="s">
        <v>582</v>
      </c>
      <c r="G429" s="112"/>
      <c r="H429" s="112"/>
      <c r="I429" s="71">
        <f t="shared" ref="I429" si="183">SUM(I427:I428)</f>
        <v>2620</v>
      </c>
      <c r="J429" s="3"/>
      <c r="K429" s="3"/>
      <c r="L429" s="3"/>
      <c r="M429" s="3"/>
    </row>
    <row r="430" spans="1:13" x14ac:dyDescent="0.45">
      <c r="A430" s="116" t="s">
        <v>9</v>
      </c>
      <c r="B430" s="115"/>
      <c r="C430" s="115"/>
      <c r="D430" s="115"/>
      <c r="E430" s="67">
        <f>IF(真実の家賃!$L$1=TRUE,計算用1!E429,計算用2!E429)</f>
        <v>-295.74127519999996</v>
      </c>
      <c r="F430" s="110" t="s">
        <v>585</v>
      </c>
      <c r="G430" s="106"/>
      <c r="H430" s="106"/>
      <c r="I430" s="70">
        <f t="shared" ref="I430" si="184">15*L424</f>
        <v>30</v>
      </c>
      <c r="J430" s="3"/>
      <c r="K430" s="3"/>
      <c r="L430" s="3"/>
      <c r="M430" s="3"/>
    </row>
    <row r="431" spans="1:13" x14ac:dyDescent="0.45">
      <c r="A431" s="105" t="s">
        <v>10</v>
      </c>
      <c r="B431" s="106"/>
      <c r="C431" s="106"/>
      <c r="D431" s="106"/>
      <c r="E431" s="67">
        <f>IF(真実の家賃!$L$1=TRUE,計算用1!E430,計算用2!E430)</f>
        <v>0</v>
      </c>
      <c r="F431" s="109" t="s">
        <v>586</v>
      </c>
      <c r="G431" s="108"/>
      <c r="H431" s="108"/>
      <c r="I431" s="71">
        <f t="shared" ref="I431" si="185">I430</f>
        <v>30</v>
      </c>
      <c r="J431" s="3"/>
      <c r="K431" s="3"/>
      <c r="L431" s="3"/>
      <c r="M431" s="3"/>
    </row>
    <row r="432" spans="1:13" ht="18.600000000000001" thickBot="1" x14ac:dyDescent="0.5">
      <c r="A432" s="113" t="s">
        <v>582</v>
      </c>
      <c r="B432" s="112"/>
      <c r="C432" s="112"/>
      <c r="D432" s="112"/>
      <c r="E432" s="68">
        <f t="shared" ref="E432" si="186">E428+E429+E430+E431</f>
        <v>2689.8035248000001</v>
      </c>
      <c r="F432" s="103" t="s">
        <v>587</v>
      </c>
      <c r="G432" s="104"/>
      <c r="H432" s="104"/>
      <c r="I432" s="66">
        <f t="shared" ref="I432" si="187">I426+I429+I431</f>
        <v>2750</v>
      </c>
      <c r="J432" s="3"/>
      <c r="K432" s="3"/>
      <c r="L432" s="3"/>
      <c r="M432" s="3"/>
    </row>
    <row r="433" spans="1:13" x14ac:dyDescent="0.45">
      <c r="A433" s="105" t="s">
        <v>12</v>
      </c>
      <c r="B433" s="106"/>
      <c r="C433" s="106"/>
      <c r="D433" s="106"/>
      <c r="E433" s="67">
        <f>IF(真実の家賃!$L$1=TRUE,計算用1!E432,計算用2!E432)</f>
        <v>1701.3478</v>
      </c>
      <c r="F433" s="3"/>
      <c r="G433" s="3"/>
      <c r="H433" s="3"/>
      <c r="I433" s="3"/>
      <c r="J433" s="3"/>
      <c r="K433" s="3"/>
      <c r="L433" s="3"/>
      <c r="M433" s="3"/>
    </row>
    <row r="434" spans="1:13" x14ac:dyDescent="0.45">
      <c r="A434" s="105" t="s">
        <v>584</v>
      </c>
      <c r="B434" s="106"/>
      <c r="C434" s="106"/>
      <c r="D434" s="106"/>
      <c r="E434" s="67">
        <f>IF(真実の家賃!$L$1=TRUE,計算用1!E433,計算用2!E433)</f>
        <v>125.37</v>
      </c>
      <c r="F434" s="3"/>
      <c r="G434" s="3"/>
      <c r="H434" s="3"/>
      <c r="I434" s="3"/>
      <c r="J434" s="3"/>
      <c r="K434" s="3"/>
      <c r="L434" s="3"/>
      <c r="M434" s="3"/>
    </row>
    <row r="435" spans="1:13" x14ac:dyDescent="0.45">
      <c r="A435" s="105" t="s">
        <v>585</v>
      </c>
      <c r="B435" s="106"/>
      <c r="C435" s="106"/>
      <c r="D435" s="106"/>
      <c r="E435" s="67">
        <f>$T$8</f>
        <v>15</v>
      </c>
      <c r="F435" s="3"/>
      <c r="G435" s="3"/>
      <c r="H435" s="3"/>
      <c r="I435" s="3"/>
      <c r="J435" s="3"/>
      <c r="K435" s="3"/>
      <c r="L435" s="3"/>
      <c r="M435" s="3"/>
    </row>
    <row r="436" spans="1:13" x14ac:dyDescent="0.45">
      <c r="A436" s="107" t="s">
        <v>586</v>
      </c>
      <c r="B436" s="108"/>
      <c r="C436" s="108"/>
      <c r="D436" s="108"/>
      <c r="E436" s="68">
        <f t="shared" ref="E436" si="188">SUM(E433:E435)</f>
        <v>1841.7177999999999</v>
      </c>
      <c r="F436" s="3"/>
      <c r="G436" s="3"/>
      <c r="H436" s="3"/>
      <c r="I436" s="3"/>
      <c r="J436" s="3"/>
      <c r="K436" s="3"/>
      <c r="L436" s="3"/>
      <c r="M436" s="3"/>
    </row>
    <row r="437" spans="1:13" ht="18.600000000000001" thickBot="1" x14ac:dyDescent="0.5">
      <c r="A437" s="101" t="s">
        <v>587</v>
      </c>
      <c r="B437" s="102"/>
      <c r="C437" s="102"/>
      <c r="D437" s="102"/>
      <c r="E437" s="69">
        <f t="shared" ref="E437" si="189">E427+E432+E436</f>
        <v>4770.3213248000002</v>
      </c>
      <c r="F437" s="3"/>
      <c r="G437" s="3"/>
      <c r="H437" s="3"/>
      <c r="I437" s="3"/>
      <c r="J437" s="3"/>
      <c r="K437" s="3"/>
      <c r="L437" s="3"/>
      <c r="M437" s="3"/>
    </row>
    <row r="438" spans="1:13" x14ac:dyDescent="0.4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4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4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4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4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8.600000000000001" thickBot="1" x14ac:dyDescent="0.5">
      <c r="A443" s="10" t="s">
        <v>588</v>
      </c>
      <c r="B443" s="61"/>
      <c r="C443" s="61"/>
      <c r="D443" s="61"/>
      <c r="E443" s="61"/>
      <c r="F443" s="61"/>
      <c r="G443" s="61"/>
      <c r="H443" s="100" t="s">
        <v>1</v>
      </c>
      <c r="I443" s="100"/>
      <c r="J443" s="3"/>
      <c r="K443" s="3"/>
      <c r="L443" s="3"/>
      <c r="M443" s="3"/>
    </row>
    <row r="444" spans="1:13" x14ac:dyDescent="0.45">
      <c r="A444" s="117" t="s">
        <v>576</v>
      </c>
      <c r="B444" s="118"/>
      <c r="C444" s="118"/>
      <c r="D444" s="118"/>
      <c r="E444" s="119"/>
      <c r="F444" s="120" t="s">
        <v>577</v>
      </c>
      <c r="G444" s="121"/>
      <c r="H444" s="121"/>
      <c r="I444" s="122"/>
      <c r="J444" s="3"/>
      <c r="K444" s="44" t="s">
        <v>590</v>
      </c>
      <c r="L444" s="39">
        <f>損益分岐点!$M$2</f>
        <v>10</v>
      </c>
      <c r="M444" s="3" t="s">
        <v>465</v>
      </c>
    </row>
    <row r="445" spans="1:13" x14ac:dyDescent="0.45">
      <c r="A445" s="123" t="s">
        <v>578</v>
      </c>
      <c r="B445" s="124"/>
      <c r="C445" s="124"/>
      <c r="D445" s="124"/>
      <c r="E445" s="65" t="s">
        <v>0</v>
      </c>
      <c r="F445" s="125" t="s">
        <v>578</v>
      </c>
      <c r="G445" s="124"/>
      <c r="H445" s="124"/>
      <c r="I445" s="65" t="s">
        <v>0</v>
      </c>
      <c r="J445" s="3"/>
      <c r="K445" s="58" t="s">
        <v>589</v>
      </c>
      <c r="L445" s="74">
        <f>$T$4</f>
        <v>2</v>
      </c>
      <c r="M445" s="3" t="s">
        <v>594</v>
      </c>
    </row>
    <row r="446" spans="1:13" ht="18.600000000000001" thickBot="1" x14ac:dyDescent="0.5">
      <c r="A446" s="116" t="s">
        <v>3</v>
      </c>
      <c r="B446" s="115"/>
      <c r="C446" s="115"/>
      <c r="D446" s="115"/>
      <c r="E446" s="67">
        <f>IF(真実の家賃!$L$1=TRUE,計算用1!E445,計算用2!E445)</f>
        <v>0</v>
      </c>
      <c r="F446" s="114" t="s">
        <v>7</v>
      </c>
      <c r="G446" s="115"/>
      <c r="H446" s="115"/>
      <c r="I446" s="70">
        <f t="shared" ref="I446" si="190">L444*5*L445</f>
        <v>100</v>
      </c>
      <c r="J446" s="3"/>
      <c r="K446" s="73" t="s">
        <v>628</v>
      </c>
      <c r="L446" s="72">
        <v>22</v>
      </c>
      <c r="M446" s="3" t="s">
        <v>468</v>
      </c>
    </row>
    <row r="447" spans="1:13" x14ac:dyDescent="0.45">
      <c r="A447" s="116" t="s">
        <v>6</v>
      </c>
      <c r="B447" s="115"/>
      <c r="C447" s="115"/>
      <c r="D447" s="115"/>
      <c r="E447" s="67">
        <f>IF(真実の家賃!$L$1=TRUE,計算用1!E446,計算用2!E446)</f>
        <v>238.79999999999998</v>
      </c>
      <c r="F447" s="111" t="s">
        <v>579</v>
      </c>
      <c r="G447" s="112"/>
      <c r="H447" s="112"/>
      <c r="I447" s="71">
        <f t="shared" ref="I447" si="191">I446</f>
        <v>100</v>
      </c>
      <c r="J447" s="3"/>
      <c r="K447" s="3"/>
      <c r="L447" s="3"/>
      <c r="M447" s="3"/>
    </row>
    <row r="448" spans="1:13" x14ac:dyDescent="0.45">
      <c r="A448" s="113" t="s">
        <v>579</v>
      </c>
      <c r="B448" s="112"/>
      <c r="C448" s="112"/>
      <c r="D448" s="112"/>
      <c r="E448" s="68">
        <f t="shared" ref="E448" si="192">SUM(E446:E447)</f>
        <v>238.79999999999998</v>
      </c>
      <c r="F448" s="114" t="s">
        <v>583</v>
      </c>
      <c r="G448" s="115"/>
      <c r="H448" s="115"/>
      <c r="I448" s="70">
        <f t="shared" ref="I448" si="193">L446*12*L444</f>
        <v>2640</v>
      </c>
      <c r="J448" s="3"/>
      <c r="K448" s="3"/>
      <c r="L448" s="3"/>
      <c r="M448" s="3"/>
    </row>
    <row r="449" spans="1:13" x14ac:dyDescent="0.45">
      <c r="A449" s="116" t="s">
        <v>580</v>
      </c>
      <c r="B449" s="115"/>
      <c r="C449" s="115"/>
      <c r="D449" s="115"/>
      <c r="E449" s="67">
        <f>IF(真実の家賃!$L$1=TRUE,計算用1!E448,計算用2!E448)</f>
        <v>2797.7136</v>
      </c>
      <c r="F449" s="114" t="s">
        <v>596</v>
      </c>
      <c r="G449" s="115"/>
      <c r="H449" s="115"/>
      <c r="I449" s="70">
        <f>_xlfn.SWITCH(L446,1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110</v>
      </c>
      <c r="J449" s="3"/>
      <c r="K449" s="3"/>
      <c r="L449" s="3"/>
      <c r="M449" s="3"/>
    </row>
    <row r="450" spans="1:13" x14ac:dyDescent="0.45">
      <c r="A450" s="105" t="s">
        <v>581</v>
      </c>
      <c r="B450" s="106"/>
      <c r="C450" s="106"/>
      <c r="D450" s="106"/>
      <c r="E450" s="67">
        <f>IF(真実の家賃!$L$1=TRUE,計算用1!E449,計算用2!E449)</f>
        <v>330</v>
      </c>
      <c r="F450" s="111" t="s">
        <v>582</v>
      </c>
      <c r="G450" s="112"/>
      <c r="H450" s="112"/>
      <c r="I450" s="71">
        <f t="shared" ref="I450" si="194">SUM(I448:I449)</f>
        <v>2750</v>
      </c>
      <c r="J450" s="3"/>
      <c r="K450" s="3"/>
      <c r="L450" s="3"/>
      <c r="M450" s="3"/>
    </row>
    <row r="451" spans="1:13" x14ac:dyDescent="0.45">
      <c r="A451" s="116" t="s">
        <v>9</v>
      </c>
      <c r="B451" s="115"/>
      <c r="C451" s="115"/>
      <c r="D451" s="115"/>
      <c r="E451" s="67">
        <f>IF(真実の家賃!$L$1=TRUE,計算用1!E450,計算用2!E450)</f>
        <v>-295.74127519999996</v>
      </c>
      <c r="F451" s="110" t="s">
        <v>585</v>
      </c>
      <c r="G451" s="106"/>
      <c r="H451" s="106"/>
      <c r="I451" s="70">
        <f t="shared" ref="I451" si="195">15*L445</f>
        <v>30</v>
      </c>
      <c r="J451" s="3"/>
      <c r="K451" s="3"/>
      <c r="L451" s="3"/>
      <c r="M451" s="3"/>
    </row>
    <row r="452" spans="1:13" x14ac:dyDescent="0.45">
      <c r="A452" s="105" t="s">
        <v>10</v>
      </c>
      <c r="B452" s="106"/>
      <c r="C452" s="106"/>
      <c r="D452" s="106"/>
      <c r="E452" s="67">
        <f>IF(真実の家賃!$L$1=TRUE,計算用1!E451,計算用2!E451)</f>
        <v>0</v>
      </c>
      <c r="F452" s="109" t="s">
        <v>586</v>
      </c>
      <c r="G452" s="108"/>
      <c r="H452" s="108"/>
      <c r="I452" s="71">
        <f t="shared" ref="I452" si="196">I451</f>
        <v>30</v>
      </c>
      <c r="J452" s="3"/>
      <c r="K452" s="3"/>
      <c r="L452" s="3"/>
      <c r="M452" s="3"/>
    </row>
    <row r="453" spans="1:13" ht="18.600000000000001" thickBot="1" x14ac:dyDescent="0.5">
      <c r="A453" s="113" t="s">
        <v>582</v>
      </c>
      <c r="B453" s="112"/>
      <c r="C453" s="112"/>
      <c r="D453" s="112"/>
      <c r="E453" s="68">
        <f t="shared" ref="E453" si="197">E449+E450+E451+E452</f>
        <v>2831.9723248</v>
      </c>
      <c r="F453" s="103" t="s">
        <v>587</v>
      </c>
      <c r="G453" s="104"/>
      <c r="H453" s="104"/>
      <c r="I453" s="66">
        <f t="shared" ref="I453" si="198">I447+I450+I452</f>
        <v>2880</v>
      </c>
      <c r="J453" s="3"/>
      <c r="K453" s="3"/>
      <c r="L453" s="3"/>
      <c r="M453" s="3"/>
    </row>
    <row r="454" spans="1:13" x14ac:dyDescent="0.45">
      <c r="A454" s="105" t="s">
        <v>12</v>
      </c>
      <c r="B454" s="106"/>
      <c r="C454" s="106"/>
      <c r="D454" s="106"/>
      <c r="E454" s="67">
        <f>IF(真実の家賃!$L$1=TRUE,計算用1!E453,計算用2!E453)</f>
        <v>1584.8905999999999</v>
      </c>
      <c r="F454" s="3"/>
      <c r="G454" s="3"/>
      <c r="H454" s="3"/>
      <c r="I454" s="3"/>
      <c r="J454" s="3"/>
      <c r="K454" s="3"/>
      <c r="L454" s="3"/>
      <c r="M454" s="3"/>
    </row>
    <row r="455" spans="1:13" x14ac:dyDescent="0.45">
      <c r="A455" s="105" t="s">
        <v>584</v>
      </c>
      <c r="B455" s="106"/>
      <c r="C455" s="106"/>
      <c r="D455" s="106"/>
      <c r="E455" s="67">
        <f>IF(真実の家賃!$L$1=TRUE,計算用1!E454,計算用2!E454)</f>
        <v>125.37</v>
      </c>
      <c r="F455" s="3"/>
      <c r="G455" s="3"/>
      <c r="H455" s="3"/>
      <c r="I455" s="3"/>
      <c r="J455" s="3"/>
      <c r="K455" s="3"/>
      <c r="L455" s="3"/>
      <c r="M455" s="3"/>
    </row>
    <row r="456" spans="1:13" x14ac:dyDescent="0.45">
      <c r="A456" s="105" t="s">
        <v>585</v>
      </c>
      <c r="B456" s="106"/>
      <c r="C456" s="106"/>
      <c r="D456" s="106"/>
      <c r="E456" s="67">
        <f>$T$8</f>
        <v>15</v>
      </c>
      <c r="F456" s="3"/>
      <c r="G456" s="3"/>
      <c r="H456" s="3"/>
      <c r="I456" s="3"/>
      <c r="J456" s="3"/>
      <c r="K456" s="3"/>
      <c r="L456" s="3"/>
      <c r="M456" s="3"/>
    </row>
    <row r="457" spans="1:13" x14ac:dyDescent="0.45">
      <c r="A457" s="107" t="s">
        <v>586</v>
      </c>
      <c r="B457" s="108"/>
      <c r="C457" s="108"/>
      <c r="D457" s="108"/>
      <c r="E457" s="68">
        <f t="shared" ref="E457" si="199">SUM(E454:E456)</f>
        <v>1725.2606000000001</v>
      </c>
      <c r="F457" s="3"/>
      <c r="G457" s="3"/>
      <c r="H457" s="3"/>
      <c r="I457" s="3"/>
      <c r="J457" s="3"/>
      <c r="K457" s="3"/>
      <c r="L457" s="3"/>
      <c r="M457" s="3"/>
    </row>
    <row r="458" spans="1:13" ht="18.600000000000001" thickBot="1" x14ac:dyDescent="0.5">
      <c r="A458" s="101" t="s">
        <v>587</v>
      </c>
      <c r="B458" s="102"/>
      <c r="C458" s="102"/>
      <c r="D458" s="102"/>
      <c r="E458" s="69">
        <f t="shared" ref="E458" si="200">E448+E453+E457</f>
        <v>4796.0329247999998</v>
      </c>
      <c r="F458" s="3"/>
      <c r="G458" s="3"/>
      <c r="H458" s="3"/>
      <c r="I458" s="3"/>
      <c r="J458" s="3"/>
      <c r="K458" s="3"/>
      <c r="L458" s="3"/>
      <c r="M458" s="3"/>
    </row>
    <row r="459" spans="1:13" x14ac:dyDescent="0.4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4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4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4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4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8.600000000000001" thickBot="1" x14ac:dyDescent="0.5">
      <c r="A464" s="10" t="s">
        <v>588</v>
      </c>
      <c r="B464" s="61"/>
      <c r="C464" s="61"/>
      <c r="D464" s="61"/>
      <c r="E464" s="61"/>
      <c r="F464" s="61"/>
      <c r="G464" s="61"/>
      <c r="H464" s="100" t="s">
        <v>1</v>
      </c>
      <c r="I464" s="100"/>
      <c r="J464" s="3"/>
      <c r="K464" s="3"/>
      <c r="L464" s="3"/>
      <c r="M464" s="3"/>
    </row>
    <row r="465" spans="1:13" x14ac:dyDescent="0.45">
      <c r="A465" s="117" t="s">
        <v>576</v>
      </c>
      <c r="B465" s="118"/>
      <c r="C465" s="118"/>
      <c r="D465" s="118"/>
      <c r="E465" s="119"/>
      <c r="F465" s="120" t="s">
        <v>577</v>
      </c>
      <c r="G465" s="121"/>
      <c r="H465" s="121"/>
      <c r="I465" s="122"/>
      <c r="J465" s="3"/>
      <c r="K465" s="44" t="s">
        <v>590</v>
      </c>
      <c r="L465" s="39">
        <f>損益分岐点!$M$2</f>
        <v>10</v>
      </c>
      <c r="M465" s="3" t="s">
        <v>465</v>
      </c>
    </row>
    <row r="466" spans="1:13" x14ac:dyDescent="0.45">
      <c r="A466" s="123" t="s">
        <v>578</v>
      </c>
      <c r="B466" s="124"/>
      <c r="C466" s="124"/>
      <c r="D466" s="124"/>
      <c r="E466" s="65" t="s">
        <v>0</v>
      </c>
      <c r="F466" s="125" t="s">
        <v>578</v>
      </c>
      <c r="G466" s="124"/>
      <c r="H466" s="124"/>
      <c r="I466" s="65" t="s">
        <v>0</v>
      </c>
      <c r="J466" s="3"/>
      <c r="K466" s="58" t="s">
        <v>589</v>
      </c>
      <c r="L466" s="74">
        <f>$T$4</f>
        <v>2</v>
      </c>
      <c r="M466" s="3" t="s">
        <v>594</v>
      </c>
    </row>
    <row r="467" spans="1:13" ht="18.600000000000001" thickBot="1" x14ac:dyDescent="0.5">
      <c r="A467" s="116" t="s">
        <v>3</v>
      </c>
      <c r="B467" s="115"/>
      <c r="C467" s="115"/>
      <c r="D467" s="115"/>
      <c r="E467" s="67">
        <f>IF(真実の家賃!$L$1=TRUE,計算用1!E466,計算用2!E466)</f>
        <v>0</v>
      </c>
      <c r="F467" s="114" t="s">
        <v>7</v>
      </c>
      <c r="G467" s="115"/>
      <c r="H467" s="115"/>
      <c r="I467" s="70">
        <f t="shared" ref="I467" si="201">L465*5*L466</f>
        <v>100</v>
      </c>
      <c r="J467" s="3"/>
      <c r="K467" s="73" t="s">
        <v>628</v>
      </c>
      <c r="L467" s="72">
        <v>23</v>
      </c>
      <c r="M467" s="3" t="s">
        <v>468</v>
      </c>
    </row>
    <row r="468" spans="1:13" x14ac:dyDescent="0.45">
      <c r="A468" s="116" t="s">
        <v>6</v>
      </c>
      <c r="B468" s="115"/>
      <c r="C468" s="115"/>
      <c r="D468" s="115"/>
      <c r="E468" s="67">
        <f>IF(真実の家賃!$L$1=TRUE,計算用1!E467,計算用2!E467)</f>
        <v>238.79999999999998</v>
      </c>
      <c r="F468" s="111" t="s">
        <v>579</v>
      </c>
      <c r="G468" s="112"/>
      <c r="H468" s="112"/>
      <c r="I468" s="71">
        <f t="shared" ref="I468" si="202">I467</f>
        <v>100</v>
      </c>
      <c r="J468" s="3"/>
      <c r="K468" s="3"/>
      <c r="L468" s="3"/>
      <c r="M468" s="3"/>
    </row>
    <row r="469" spans="1:13" x14ac:dyDescent="0.45">
      <c r="A469" s="113" t="s">
        <v>579</v>
      </c>
      <c r="B469" s="112"/>
      <c r="C469" s="112"/>
      <c r="D469" s="112"/>
      <c r="E469" s="68">
        <f t="shared" ref="E469" si="203">SUM(E467:E468)</f>
        <v>238.79999999999998</v>
      </c>
      <c r="F469" s="114" t="s">
        <v>583</v>
      </c>
      <c r="G469" s="115"/>
      <c r="H469" s="115"/>
      <c r="I469" s="70">
        <f t="shared" ref="I469" si="204">L467*12*L465</f>
        <v>2760</v>
      </c>
      <c r="J469" s="3"/>
      <c r="K469" s="3"/>
      <c r="L469" s="3"/>
      <c r="M469" s="3"/>
    </row>
    <row r="470" spans="1:13" x14ac:dyDescent="0.45">
      <c r="A470" s="116" t="s">
        <v>580</v>
      </c>
      <c r="B470" s="115"/>
      <c r="C470" s="115"/>
      <c r="D470" s="115"/>
      <c r="E470" s="67">
        <f>IF(真実の家賃!$L$1=TRUE,計算用1!E469,計算用2!E469)</f>
        <v>2924.8824</v>
      </c>
      <c r="F470" s="114" t="s">
        <v>596</v>
      </c>
      <c r="G470" s="115"/>
      <c r="H470" s="115"/>
      <c r="I470" s="70">
        <f>_xlfn.SWITCH(L467,1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110</v>
      </c>
      <c r="J470" s="3"/>
      <c r="K470" s="3"/>
      <c r="L470" s="3"/>
      <c r="M470" s="3"/>
    </row>
    <row r="471" spans="1:13" x14ac:dyDescent="0.45">
      <c r="A471" s="105" t="s">
        <v>581</v>
      </c>
      <c r="B471" s="106"/>
      <c r="C471" s="106"/>
      <c r="D471" s="106"/>
      <c r="E471" s="67">
        <f>IF(真実の家賃!$L$1=TRUE,計算用1!E470,計算用2!E470)</f>
        <v>345</v>
      </c>
      <c r="F471" s="111" t="s">
        <v>582</v>
      </c>
      <c r="G471" s="112"/>
      <c r="H471" s="112"/>
      <c r="I471" s="71">
        <f t="shared" ref="I471" si="205">SUM(I469:I470)</f>
        <v>2870</v>
      </c>
      <c r="J471" s="3"/>
      <c r="K471" s="3"/>
      <c r="L471" s="3"/>
      <c r="M471" s="3"/>
    </row>
    <row r="472" spans="1:13" x14ac:dyDescent="0.45">
      <c r="A472" s="116" t="s">
        <v>9</v>
      </c>
      <c r="B472" s="115"/>
      <c r="C472" s="115"/>
      <c r="D472" s="115"/>
      <c r="E472" s="67">
        <f>IF(真実の家賃!$L$1=TRUE,計算用1!E471,計算用2!E471)</f>
        <v>-295.74127519999996</v>
      </c>
      <c r="F472" s="110" t="s">
        <v>585</v>
      </c>
      <c r="G472" s="106"/>
      <c r="H472" s="106"/>
      <c r="I472" s="70">
        <f t="shared" ref="I472" si="206">15*L466</f>
        <v>30</v>
      </c>
      <c r="J472" s="3"/>
      <c r="K472" s="3"/>
      <c r="L472" s="3"/>
      <c r="M472" s="3"/>
    </row>
    <row r="473" spans="1:13" x14ac:dyDescent="0.45">
      <c r="A473" s="105" t="s">
        <v>10</v>
      </c>
      <c r="B473" s="106"/>
      <c r="C473" s="106"/>
      <c r="D473" s="106"/>
      <c r="E473" s="67">
        <f>IF(真実の家賃!$L$1=TRUE,計算用1!E472,計算用2!E472)</f>
        <v>0</v>
      </c>
      <c r="F473" s="109" t="s">
        <v>586</v>
      </c>
      <c r="G473" s="108"/>
      <c r="H473" s="108"/>
      <c r="I473" s="71">
        <f t="shared" ref="I473" si="207">I472</f>
        <v>30</v>
      </c>
      <c r="J473" s="3"/>
      <c r="K473" s="3"/>
      <c r="L473" s="3"/>
      <c r="M473" s="3"/>
    </row>
    <row r="474" spans="1:13" ht="18.600000000000001" thickBot="1" x14ac:dyDescent="0.5">
      <c r="A474" s="113" t="s">
        <v>582</v>
      </c>
      <c r="B474" s="112"/>
      <c r="C474" s="112"/>
      <c r="D474" s="112"/>
      <c r="E474" s="68">
        <f t="shared" ref="E474" si="208">E470+E471+E472+E473</f>
        <v>2974.1411247999999</v>
      </c>
      <c r="F474" s="103" t="s">
        <v>587</v>
      </c>
      <c r="G474" s="104"/>
      <c r="H474" s="104"/>
      <c r="I474" s="66">
        <f t="shared" ref="I474" si="209">I468+I471+I473</f>
        <v>3000</v>
      </c>
      <c r="J474" s="3"/>
      <c r="K474" s="3"/>
      <c r="L474" s="3"/>
      <c r="M474" s="3"/>
    </row>
    <row r="475" spans="1:13" x14ac:dyDescent="0.45">
      <c r="A475" s="105" t="s">
        <v>12</v>
      </c>
      <c r="B475" s="106"/>
      <c r="C475" s="106"/>
      <c r="D475" s="106"/>
      <c r="E475" s="67">
        <f>IF(真実の家賃!$L$1=TRUE,計算用1!E474,計算用2!E474)</f>
        <v>1467.6741999999999</v>
      </c>
      <c r="F475" s="3"/>
      <c r="G475" s="3"/>
      <c r="H475" s="3"/>
      <c r="I475" s="3"/>
      <c r="J475" s="3"/>
      <c r="K475" s="3"/>
      <c r="L475" s="3"/>
      <c r="M475" s="3"/>
    </row>
    <row r="476" spans="1:13" x14ac:dyDescent="0.45">
      <c r="A476" s="105" t="s">
        <v>584</v>
      </c>
      <c r="B476" s="106"/>
      <c r="C476" s="106"/>
      <c r="D476" s="106"/>
      <c r="E476" s="67">
        <f>IF(真実の家賃!$L$1=TRUE,計算用1!E475,計算用2!E475)</f>
        <v>125.37</v>
      </c>
      <c r="F476" s="3"/>
      <c r="G476" s="3"/>
      <c r="H476" s="3"/>
      <c r="I476" s="3"/>
      <c r="J476" s="3"/>
      <c r="K476" s="3"/>
      <c r="L476" s="3"/>
      <c r="M476" s="3"/>
    </row>
    <row r="477" spans="1:13" x14ac:dyDescent="0.45">
      <c r="A477" s="105" t="s">
        <v>585</v>
      </c>
      <c r="B477" s="106"/>
      <c r="C477" s="106"/>
      <c r="D477" s="106"/>
      <c r="E477" s="67">
        <f>$T$8</f>
        <v>15</v>
      </c>
      <c r="F477" s="3"/>
      <c r="G477" s="3"/>
      <c r="H477" s="3"/>
      <c r="I477" s="3"/>
      <c r="J477" s="3"/>
      <c r="K477" s="3"/>
      <c r="L477" s="3"/>
      <c r="M477" s="3"/>
    </row>
    <row r="478" spans="1:13" x14ac:dyDescent="0.45">
      <c r="A478" s="107" t="s">
        <v>586</v>
      </c>
      <c r="B478" s="108"/>
      <c r="C478" s="108"/>
      <c r="D478" s="108"/>
      <c r="E478" s="68">
        <f t="shared" ref="E478" si="210">SUM(E475:E477)</f>
        <v>1608.0441999999998</v>
      </c>
      <c r="F478" s="3"/>
      <c r="G478" s="3"/>
      <c r="H478" s="3"/>
      <c r="I478" s="3"/>
      <c r="J478" s="3"/>
      <c r="K478" s="3"/>
      <c r="L478" s="3"/>
      <c r="M478" s="3"/>
    </row>
    <row r="479" spans="1:13" ht="18.600000000000001" thickBot="1" x14ac:dyDescent="0.5">
      <c r="A479" s="101" t="s">
        <v>587</v>
      </c>
      <c r="B479" s="102"/>
      <c r="C479" s="102"/>
      <c r="D479" s="102"/>
      <c r="E479" s="69">
        <f t="shared" ref="E479" si="211">E469+E474+E478</f>
        <v>4820.9853247999999</v>
      </c>
      <c r="F479" s="3"/>
      <c r="G479" s="3"/>
      <c r="H479" s="3"/>
      <c r="I479" s="3"/>
      <c r="J479" s="3"/>
      <c r="K479" s="3"/>
      <c r="L479" s="3"/>
      <c r="M479" s="3"/>
    </row>
    <row r="480" spans="1:13" x14ac:dyDescent="0.4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4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4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4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4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8.600000000000001" thickBot="1" x14ac:dyDescent="0.5">
      <c r="A485" s="10" t="s">
        <v>588</v>
      </c>
      <c r="B485" s="61"/>
      <c r="C485" s="61"/>
      <c r="D485" s="61"/>
      <c r="E485" s="61"/>
      <c r="F485" s="61"/>
      <c r="G485" s="61"/>
      <c r="H485" s="100" t="s">
        <v>1</v>
      </c>
      <c r="I485" s="100"/>
      <c r="J485" s="3"/>
      <c r="K485" s="3"/>
      <c r="L485" s="3"/>
      <c r="M485" s="3"/>
    </row>
    <row r="486" spans="1:13" x14ac:dyDescent="0.45">
      <c r="A486" s="117" t="s">
        <v>576</v>
      </c>
      <c r="B486" s="118"/>
      <c r="C486" s="118"/>
      <c r="D486" s="118"/>
      <c r="E486" s="119"/>
      <c r="F486" s="120" t="s">
        <v>577</v>
      </c>
      <c r="G486" s="121"/>
      <c r="H486" s="121"/>
      <c r="I486" s="122"/>
      <c r="J486" s="3"/>
      <c r="K486" s="44" t="s">
        <v>590</v>
      </c>
      <c r="L486" s="39">
        <f>損益分岐点!$M$2</f>
        <v>10</v>
      </c>
      <c r="M486" s="3" t="s">
        <v>465</v>
      </c>
    </row>
    <row r="487" spans="1:13" x14ac:dyDescent="0.45">
      <c r="A487" s="123" t="s">
        <v>578</v>
      </c>
      <c r="B487" s="124"/>
      <c r="C487" s="124"/>
      <c r="D487" s="124"/>
      <c r="E487" s="65" t="s">
        <v>0</v>
      </c>
      <c r="F487" s="125" t="s">
        <v>578</v>
      </c>
      <c r="G487" s="124"/>
      <c r="H487" s="124"/>
      <c r="I487" s="65" t="s">
        <v>0</v>
      </c>
      <c r="J487" s="3"/>
      <c r="K487" s="58" t="s">
        <v>589</v>
      </c>
      <c r="L487" s="74">
        <f>$T$4</f>
        <v>2</v>
      </c>
      <c r="M487" s="3" t="s">
        <v>594</v>
      </c>
    </row>
    <row r="488" spans="1:13" ht="18.600000000000001" thickBot="1" x14ac:dyDescent="0.5">
      <c r="A488" s="116" t="s">
        <v>3</v>
      </c>
      <c r="B488" s="115"/>
      <c r="C488" s="115"/>
      <c r="D488" s="115"/>
      <c r="E488" s="67">
        <f>IF(真実の家賃!$L$1=TRUE,計算用1!E487,計算用2!E487)</f>
        <v>0</v>
      </c>
      <c r="F488" s="114" t="s">
        <v>7</v>
      </c>
      <c r="G488" s="115"/>
      <c r="H488" s="115"/>
      <c r="I488" s="70">
        <f t="shared" ref="I488" si="212">L486*5*L487</f>
        <v>100</v>
      </c>
      <c r="J488" s="3"/>
      <c r="K488" s="73" t="s">
        <v>628</v>
      </c>
      <c r="L488" s="72">
        <v>24</v>
      </c>
      <c r="M488" s="3" t="s">
        <v>468</v>
      </c>
    </row>
    <row r="489" spans="1:13" x14ac:dyDescent="0.45">
      <c r="A489" s="116" t="s">
        <v>6</v>
      </c>
      <c r="B489" s="115"/>
      <c r="C489" s="115"/>
      <c r="D489" s="115"/>
      <c r="E489" s="67">
        <f>IF(真実の家賃!$L$1=TRUE,計算用1!E488,計算用2!E488)</f>
        <v>238.79999999999998</v>
      </c>
      <c r="F489" s="111" t="s">
        <v>579</v>
      </c>
      <c r="G489" s="112"/>
      <c r="H489" s="112"/>
      <c r="I489" s="71">
        <f t="shared" ref="I489" si="213">I488</f>
        <v>100</v>
      </c>
      <c r="J489" s="3"/>
      <c r="K489" s="3"/>
      <c r="L489" s="3"/>
      <c r="M489" s="3"/>
    </row>
    <row r="490" spans="1:13" x14ac:dyDescent="0.45">
      <c r="A490" s="113" t="s">
        <v>579</v>
      </c>
      <c r="B490" s="112"/>
      <c r="C490" s="112"/>
      <c r="D490" s="112"/>
      <c r="E490" s="68">
        <f t="shared" ref="E490" si="214">SUM(E488:E489)</f>
        <v>238.79999999999998</v>
      </c>
      <c r="F490" s="114" t="s">
        <v>583</v>
      </c>
      <c r="G490" s="115"/>
      <c r="H490" s="115"/>
      <c r="I490" s="70">
        <f t="shared" ref="I490" si="215">L488*12*L486</f>
        <v>2880</v>
      </c>
      <c r="J490" s="3"/>
      <c r="K490" s="3"/>
      <c r="L490" s="3"/>
      <c r="M490" s="3"/>
    </row>
    <row r="491" spans="1:13" x14ac:dyDescent="0.45">
      <c r="A491" s="116" t="s">
        <v>580</v>
      </c>
      <c r="B491" s="115"/>
      <c r="C491" s="115"/>
      <c r="D491" s="115"/>
      <c r="E491" s="67">
        <f>IF(真実の家賃!$L$1=TRUE,計算用1!E490,計算用2!E490)</f>
        <v>3052.0511999999999</v>
      </c>
      <c r="F491" s="114" t="s">
        <v>596</v>
      </c>
      <c r="G491" s="115"/>
      <c r="H491" s="115"/>
      <c r="I491" s="70">
        <f>_xlfn.SWITCH(L488,1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120</v>
      </c>
      <c r="J491" s="3"/>
      <c r="K491" s="3"/>
      <c r="L491" s="3"/>
      <c r="M491" s="3"/>
    </row>
    <row r="492" spans="1:13" x14ac:dyDescent="0.45">
      <c r="A492" s="105" t="s">
        <v>581</v>
      </c>
      <c r="B492" s="106"/>
      <c r="C492" s="106"/>
      <c r="D492" s="106"/>
      <c r="E492" s="67">
        <f>IF(真実の家賃!$L$1=TRUE,計算用1!E491,計算用2!E491)</f>
        <v>360</v>
      </c>
      <c r="F492" s="111" t="s">
        <v>582</v>
      </c>
      <c r="G492" s="112"/>
      <c r="H492" s="112"/>
      <c r="I492" s="71">
        <f t="shared" ref="I492" si="216">SUM(I490:I491)</f>
        <v>3000</v>
      </c>
      <c r="J492" s="3"/>
      <c r="K492" s="3"/>
      <c r="L492" s="3"/>
      <c r="M492" s="3"/>
    </row>
    <row r="493" spans="1:13" x14ac:dyDescent="0.45">
      <c r="A493" s="116" t="s">
        <v>9</v>
      </c>
      <c r="B493" s="115"/>
      <c r="C493" s="115"/>
      <c r="D493" s="115"/>
      <c r="E493" s="67">
        <f>IF(真実の家賃!$L$1=TRUE,計算用1!E492,計算用2!E492)</f>
        <v>-295.74127519999996</v>
      </c>
      <c r="F493" s="110" t="s">
        <v>585</v>
      </c>
      <c r="G493" s="106"/>
      <c r="H493" s="106"/>
      <c r="I493" s="70">
        <f t="shared" ref="I493" si="217">15*L487</f>
        <v>30</v>
      </c>
      <c r="J493" s="3"/>
      <c r="K493" s="3"/>
      <c r="L493" s="3"/>
      <c r="M493" s="3"/>
    </row>
    <row r="494" spans="1:13" x14ac:dyDescent="0.45">
      <c r="A494" s="105" t="s">
        <v>10</v>
      </c>
      <c r="B494" s="106"/>
      <c r="C494" s="106"/>
      <c r="D494" s="106"/>
      <c r="E494" s="67">
        <f>IF(真実の家賃!$L$1=TRUE,計算用1!E493,計算用2!E493)</f>
        <v>0</v>
      </c>
      <c r="F494" s="109" t="s">
        <v>586</v>
      </c>
      <c r="G494" s="108"/>
      <c r="H494" s="108"/>
      <c r="I494" s="71">
        <f t="shared" ref="I494" si="218">I493</f>
        <v>30</v>
      </c>
      <c r="J494" s="3"/>
      <c r="K494" s="3"/>
      <c r="L494" s="3"/>
      <c r="M494" s="3"/>
    </row>
    <row r="495" spans="1:13" ht="18.600000000000001" thickBot="1" x14ac:dyDescent="0.5">
      <c r="A495" s="113" t="s">
        <v>582</v>
      </c>
      <c r="B495" s="112"/>
      <c r="C495" s="112"/>
      <c r="D495" s="112"/>
      <c r="E495" s="68">
        <f t="shared" ref="E495" si="219">E491+E492+E493+E494</f>
        <v>3116.3099247999999</v>
      </c>
      <c r="F495" s="103" t="s">
        <v>587</v>
      </c>
      <c r="G495" s="104"/>
      <c r="H495" s="104"/>
      <c r="I495" s="66">
        <f t="shared" ref="I495" si="220">I489+I492+I494</f>
        <v>3130</v>
      </c>
      <c r="J495" s="3"/>
      <c r="K495" s="3"/>
      <c r="L495" s="3"/>
      <c r="M495" s="3"/>
    </row>
    <row r="496" spans="1:13" x14ac:dyDescent="0.45">
      <c r="A496" s="105" t="s">
        <v>12</v>
      </c>
      <c r="B496" s="106"/>
      <c r="C496" s="106"/>
      <c r="D496" s="106"/>
      <c r="E496" s="67">
        <f>IF(真実の家賃!$L$1=TRUE,計算用1!E495,計算用2!E495)</f>
        <v>1349.6935000000001</v>
      </c>
      <c r="F496" s="3"/>
      <c r="G496" s="3"/>
      <c r="H496" s="3"/>
      <c r="I496" s="3"/>
      <c r="J496" s="3"/>
      <c r="K496" s="3"/>
      <c r="L496" s="3"/>
      <c r="M496" s="3"/>
    </row>
    <row r="497" spans="1:13" x14ac:dyDescent="0.45">
      <c r="A497" s="105" t="s">
        <v>584</v>
      </c>
      <c r="B497" s="106"/>
      <c r="C497" s="106"/>
      <c r="D497" s="106"/>
      <c r="E497" s="67">
        <f>IF(真実の家賃!$L$1=TRUE,計算用1!E496,計算用2!E496)</f>
        <v>125.37</v>
      </c>
      <c r="F497" s="3"/>
      <c r="G497" s="3"/>
      <c r="H497" s="3"/>
      <c r="I497" s="3"/>
      <c r="J497" s="3"/>
      <c r="K497" s="3"/>
      <c r="L497" s="3"/>
      <c r="M497" s="3"/>
    </row>
    <row r="498" spans="1:13" x14ac:dyDescent="0.45">
      <c r="A498" s="105" t="s">
        <v>585</v>
      </c>
      <c r="B498" s="106"/>
      <c r="C498" s="106"/>
      <c r="D498" s="106"/>
      <c r="E498" s="67">
        <f>$T$8</f>
        <v>15</v>
      </c>
      <c r="F498" s="3"/>
      <c r="G498" s="3"/>
      <c r="H498" s="3"/>
      <c r="I498" s="3"/>
      <c r="J498" s="3"/>
      <c r="K498" s="3"/>
      <c r="L498" s="3"/>
      <c r="M498" s="3"/>
    </row>
    <row r="499" spans="1:13" x14ac:dyDescent="0.45">
      <c r="A499" s="107" t="s">
        <v>586</v>
      </c>
      <c r="B499" s="108"/>
      <c r="C499" s="108"/>
      <c r="D499" s="108"/>
      <c r="E499" s="68">
        <f t="shared" ref="E499" si="221">SUM(E496:E498)</f>
        <v>1490.0635000000002</v>
      </c>
      <c r="F499" s="3"/>
      <c r="G499" s="3"/>
      <c r="H499" s="3"/>
      <c r="I499" s="3"/>
      <c r="J499" s="3"/>
      <c r="K499" s="3"/>
      <c r="L499" s="3"/>
      <c r="M499" s="3"/>
    </row>
    <row r="500" spans="1:13" ht="18.600000000000001" thickBot="1" x14ac:dyDescent="0.5">
      <c r="A500" s="101" t="s">
        <v>587</v>
      </c>
      <c r="B500" s="102"/>
      <c r="C500" s="102"/>
      <c r="D500" s="102"/>
      <c r="E500" s="69">
        <f t="shared" ref="E500" si="222">E490+E495+E499</f>
        <v>4845.1734248000002</v>
      </c>
      <c r="F500" s="3"/>
      <c r="G500" s="3"/>
      <c r="H500" s="3"/>
      <c r="I500" s="3"/>
      <c r="J500" s="3"/>
      <c r="K500" s="3"/>
      <c r="L500" s="3"/>
      <c r="M500" s="3"/>
    </row>
    <row r="501" spans="1:13" x14ac:dyDescent="0.4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x14ac:dyDescent="0.4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x14ac:dyDescent="0.4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x14ac:dyDescent="0.4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x14ac:dyDescent="0.4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8.600000000000001" thickBot="1" x14ac:dyDescent="0.5">
      <c r="A506" s="10" t="s">
        <v>588</v>
      </c>
      <c r="B506" s="61"/>
      <c r="C506" s="61"/>
      <c r="D506" s="61"/>
      <c r="E506" s="61"/>
      <c r="F506" s="61"/>
      <c r="G506" s="61"/>
      <c r="H506" s="100" t="s">
        <v>1</v>
      </c>
      <c r="I506" s="100"/>
      <c r="J506" s="3"/>
      <c r="K506" s="3"/>
      <c r="L506" s="3"/>
      <c r="M506" s="3"/>
    </row>
    <row r="507" spans="1:13" x14ac:dyDescent="0.45">
      <c r="A507" s="117" t="s">
        <v>576</v>
      </c>
      <c r="B507" s="118"/>
      <c r="C507" s="118"/>
      <c r="D507" s="118"/>
      <c r="E507" s="119"/>
      <c r="F507" s="120" t="s">
        <v>577</v>
      </c>
      <c r="G507" s="121"/>
      <c r="H507" s="121"/>
      <c r="I507" s="122"/>
      <c r="J507" s="3"/>
      <c r="K507" s="44" t="s">
        <v>590</v>
      </c>
      <c r="L507" s="39">
        <f>損益分岐点!$M$2</f>
        <v>10</v>
      </c>
      <c r="M507" s="3" t="s">
        <v>465</v>
      </c>
    </row>
    <row r="508" spans="1:13" x14ac:dyDescent="0.45">
      <c r="A508" s="123" t="s">
        <v>578</v>
      </c>
      <c r="B508" s="124"/>
      <c r="C508" s="124"/>
      <c r="D508" s="124"/>
      <c r="E508" s="65" t="s">
        <v>0</v>
      </c>
      <c r="F508" s="125" t="s">
        <v>578</v>
      </c>
      <c r="G508" s="124"/>
      <c r="H508" s="124"/>
      <c r="I508" s="65" t="s">
        <v>0</v>
      </c>
      <c r="J508" s="3"/>
      <c r="K508" s="58" t="s">
        <v>589</v>
      </c>
      <c r="L508" s="74">
        <f>$T$4</f>
        <v>2</v>
      </c>
      <c r="M508" s="3" t="s">
        <v>594</v>
      </c>
    </row>
    <row r="509" spans="1:13" ht="18.600000000000001" thickBot="1" x14ac:dyDescent="0.5">
      <c r="A509" s="116" t="s">
        <v>3</v>
      </c>
      <c r="B509" s="115"/>
      <c r="C509" s="115"/>
      <c r="D509" s="115"/>
      <c r="E509" s="67">
        <f>IF(真実の家賃!$L$1=TRUE,計算用1!E508,計算用2!E508)</f>
        <v>0</v>
      </c>
      <c r="F509" s="114" t="s">
        <v>7</v>
      </c>
      <c r="G509" s="115"/>
      <c r="H509" s="115"/>
      <c r="I509" s="70">
        <f t="shared" ref="I509" si="223">L507*5*L508</f>
        <v>100</v>
      </c>
      <c r="J509" s="3"/>
      <c r="K509" s="73" t="s">
        <v>628</v>
      </c>
      <c r="L509" s="72">
        <v>25</v>
      </c>
      <c r="M509" s="3" t="s">
        <v>468</v>
      </c>
    </row>
    <row r="510" spans="1:13" x14ac:dyDescent="0.45">
      <c r="A510" s="116" t="s">
        <v>6</v>
      </c>
      <c r="B510" s="115"/>
      <c r="C510" s="115"/>
      <c r="D510" s="115"/>
      <c r="E510" s="67">
        <f>IF(真実の家賃!$L$1=TRUE,計算用1!E509,計算用2!E509)</f>
        <v>238.79999999999998</v>
      </c>
      <c r="F510" s="111" t="s">
        <v>579</v>
      </c>
      <c r="G510" s="112"/>
      <c r="H510" s="112"/>
      <c r="I510" s="71">
        <f t="shared" ref="I510" si="224">I509</f>
        <v>100</v>
      </c>
      <c r="J510" s="3"/>
      <c r="K510" s="3"/>
      <c r="L510" s="3"/>
      <c r="M510" s="3"/>
    </row>
    <row r="511" spans="1:13" x14ac:dyDescent="0.45">
      <c r="A511" s="113" t="s">
        <v>579</v>
      </c>
      <c r="B511" s="112"/>
      <c r="C511" s="112"/>
      <c r="D511" s="112"/>
      <c r="E511" s="68">
        <f t="shared" ref="E511" si="225">SUM(E509:E510)</f>
        <v>238.79999999999998</v>
      </c>
      <c r="F511" s="114" t="s">
        <v>583</v>
      </c>
      <c r="G511" s="115"/>
      <c r="H511" s="115"/>
      <c r="I511" s="70">
        <f t="shared" ref="I511" si="226">L509*12*L507</f>
        <v>3000</v>
      </c>
      <c r="J511" s="3"/>
      <c r="K511" s="3"/>
      <c r="L511" s="3"/>
      <c r="M511" s="3"/>
    </row>
    <row r="512" spans="1:13" x14ac:dyDescent="0.45">
      <c r="A512" s="116" t="s">
        <v>580</v>
      </c>
      <c r="B512" s="115"/>
      <c r="C512" s="115"/>
      <c r="D512" s="115"/>
      <c r="E512" s="67">
        <f>IF(真実の家賃!$L$1=TRUE,計算用1!E511,計算用2!E511)</f>
        <v>3179.22</v>
      </c>
      <c r="F512" s="114" t="s">
        <v>596</v>
      </c>
      <c r="G512" s="115"/>
      <c r="H512" s="115"/>
      <c r="I512" s="70">
        <f>_xlfn.SWITCH(L509,1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120</v>
      </c>
      <c r="J512" s="3"/>
      <c r="K512" s="3"/>
      <c r="L512" s="3"/>
      <c r="M512" s="3"/>
    </row>
    <row r="513" spans="1:13" x14ac:dyDescent="0.45">
      <c r="A513" s="105" t="s">
        <v>581</v>
      </c>
      <c r="B513" s="106"/>
      <c r="C513" s="106"/>
      <c r="D513" s="106"/>
      <c r="E513" s="67">
        <f>IF(真実の家賃!$L$1=TRUE,計算用1!E512,計算用2!E512)</f>
        <v>375</v>
      </c>
      <c r="F513" s="111" t="s">
        <v>582</v>
      </c>
      <c r="G513" s="112"/>
      <c r="H513" s="112"/>
      <c r="I513" s="71">
        <f t="shared" ref="I513" si="227">SUM(I511:I512)</f>
        <v>3120</v>
      </c>
      <c r="J513" s="3"/>
      <c r="K513" s="3"/>
      <c r="L513" s="3"/>
      <c r="M513" s="3"/>
    </row>
    <row r="514" spans="1:13" x14ac:dyDescent="0.45">
      <c r="A514" s="116" t="s">
        <v>9</v>
      </c>
      <c r="B514" s="115"/>
      <c r="C514" s="115"/>
      <c r="D514" s="115"/>
      <c r="E514" s="67">
        <f>IF(真実の家賃!$L$1=TRUE,計算用1!E513,計算用2!E513)</f>
        <v>-295.74127519999996</v>
      </c>
      <c r="F514" s="110" t="s">
        <v>585</v>
      </c>
      <c r="G514" s="106"/>
      <c r="H514" s="106"/>
      <c r="I514" s="70">
        <f t="shared" ref="I514" si="228">15*L508</f>
        <v>30</v>
      </c>
      <c r="J514" s="3"/>
      <c r="K514" s="3"/>
      <c r="L514" s="3"/>
      <c r="M514" s="3"/>
    </row>
    <row r="515" spans="1:13" x14ac:dyDescent="0.45">
      <c r="A515" s="105" t="s">
        <v>10</v>
      </c>
      <c r="B515" s="106"/>
      <c r="C515" s="106"/>
      <c r="D515" s="106"/>
      <c r="E515" s="67">
        <f>IF(真実の家賃!$L$1=TRUE,計算用1!E514,計算用2!E514)</f>
        <v>0</v>
      </c>
      <c r="F515" s="109" t="s">
        <v>586</v>
      </c>
      <c r="G515" s="108"/>
      <c r="H515" s="108"/>
      <c r="I515" s="71">
        <f t="shared" ref="I515" si="229">I514</f>
        <v>30</v>
      </c>
      <c r="J515" s="3"/>
      <c r="K515" s="3"/>
      <c r="L515" s="3"/>
      <c r="M515" s="3"/>
    </row>
    <row r="516" spans="1:13" ht="18.600000000000001" thickBot="1" x14ac:dyDescent="0.5">
      <c r="A516" s="113" t="s">
        <v>582</v>
      </c>
      <c r="B516" s="112"/>
      <c r="C516" s="112"/>
      <c r="D516" s="112"/>
      <c r="E516" s="68">
        <f t="shared" ref="E516" si="230">E512+E513+E514+E515</f>
        <v>3258.4787247999998</v>
      </c>
      <c r="F516" s="103" t="s">
        <v>587</v>
      </c>
      <c r="G516" s="104"/>
      <c r="H516" s="104"/>
      <c r="I516" s="66">
        <f t="shared" ref="I516" si="231">I510+I513+I515</f>
        <v>3250</v>
      </c>
      <c r="J516" s="3"/>
      <c r="K516" s="3"/>
      <c r="L516" s="3"/>
      <c r="M516" s="3"/>
    </row>
    <row r="517" spans="1:13" x14ac:dyDescent="0.45">
      <c r="A517" s="105" t="s">
        <v>12</v>
      </c>
      <c r="B517" s="106"/>
      <c r="C517" s="106"/>
      <c r="D517" s="106"/>
      <c r="E517" s="67">
        <f>IF(真実の家賃!$L$1=TRUE,計算用1!E516,計算用2!E516)</f>
        <v>1230.9437</v>
      </c>
      <c r="F517" s="3"/>
      <c r="G517" s="3"/>
      <c r="H517" s="3"/>
      <c r="I517" s="3"/>
      <c r="J517" s="3"/>
      <c r="K517" s="3"/>
      <c r="L517" s="3"/>
      <c r="M517" s="3"/>
    </row>
    <row r="518" spans="1:13" x14ac:dyDescent="0.45">
      <c r="A518" s="105" t="s">
        <v>584</v>
      </c>
      <c r="B518" s="106"/>
      <c r="C518" s="106"/>
      <c r="D518" s="106"/>
      <c r="E518" s="67">
        <f>IF(真実の家賃!$L$1=TRUE,計算用1!E517,計算用2!E517)</f>
        <v>125.37</v>
      </c>
      <c r="F518" s="3"/>
      <c r="G518" s="3"/>
      <c r="H518" s="3"/>
      <c r="I518" s="3"/>
      <c r="J518" s="3"/>
      <c r="K518" s="3"/>
      <c r="L518" s="3"/>
      <c r="M518" s="3"/>
    </row>
    <row r="519" spans="1:13" x14ac:dyDescent="0.45">
      <c r="A519" s="105" t="s">
        <v>585</v>
      </c>
      <c r="B519" s="106"/>
      <c r="C519" s="106"/>
      <c r="D519" s="106"/>
      <c r="E519" s="67">
        <f>$T$8</f>
        <v>15</v>
      </c>
      <c r="F519" s="3"/>
      <c r="G519" s="3"/>
      <c r="H519" s="3"/>
      <c r="I519" s="3"/>
      <c r="J519" s="3"/>
      <c r="K519" s="3"/>
      <c r="L519" s="3"/>
      <c r="M519" s="3"/>
    </row>
    <row r="520" spans="1:13" x14ac:dyDescent="0.45">
      <c r="A520" s="107" t="s">
        <v>586</v>
      </c>
      <c r="B520" s="108"/>
      <c r="C520" s="108"/>
      <c r="D520" s="108"/>
      <c r="E520" s="68">
        <f t="shared" ref="E520" si="232">SUM(E517:E519)</f>
        <v>1371.3137000000002</v>
      </c>
      <c r="F520" s="3"/>
      <c r="G520" s="3"/>
      <c r="H520" s="3"/>
      <c r="I520" s="3"/>
      <c r="J520" s="3"/>
      <c r="K520" s="3"/>
      <c r="L520" s="3"/>
      <c r="M520" s="3"/>
    </row>
    <row r="521" spans="1:13" ht="18.600000000000001" thickBot="1" x14ac:dyDescent="0.5">
      <c r="A521" s="101" t="s">
        <v>587</v>
      </c>
      <c r="B521" s="102"/>
      <c r="C521" s="102"/>
      <c r="D521" s="102"/>
      <c r="E521" s="69">
        <f t="shared" ref="E521" si="233">E511+E516+E520</f>
        <v>4868.5924248000001</v>
      </c>
      <c r="F521" s="3"/>
      <c r="G521" s="3"/>
      <c r="H521" s="3"/>
      <c r="I521" s="3"/>
      <c r="J521" s="3"/>
      <c r="K521" s="3"/>
      <c r="L521" s="3"/>
      <c r="M521" s="3"/>
    </row>
    <row r="522" spans="1:13" x14ac:dyDescent="0.4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x14ac:dyDescent="0.4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x14ac:dyDescent="0.4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x14ac:dyDescent="0.4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x14ac:dyDescent="0.4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8.600000000000001" thickBot="1" x14ac:dyDescent="0.5">
      <c r="A527" s="10" t="s">
        <v>588</v>
      </c>
      <c r="B527" s="61"/>
      <c r="C527" s="61"/>
      <c r="D527" s="61"/>
      <c r="E527" s="61"/>
      <c r="F527" s="61"/>
      <c r="G527" s="61"/>
      <c r="H527" s="100" t="s">
        <v>1</v>
      </c>
      <c r="I527" s="100"/>
      <c r="J527" s="3"/>
      <c r="K527" s="3"/>
      <c r="L527" s="3"/>
      <c r="M527" s="3"/>
    </row>
    <row r="528" spans="1:13" x14ac:dyDescent="0.45">
      <c r="A528" s="117" t="s">
        <v>576</v>
      </c>
      <c r="B528" s="118"/>
      <c r="C528" s="118"/>
      <c r="D528" s="118"/>
      <c r="E528" s="119"/>
      <c r="F528" s="120" t="s">
        <v>577</v>
      </c>
      <c r="G528" s="121"/>
      <c r="H528" s="121"/>
      <c r="I528" s="122"/>
      <c r="J528" s="3"/>
      <c r="K528" s="44" t="s">
        <v>590</v>
      </c>
      <c r="L528" s="39">
        <f>損益分岐点!$M$2</f>
        <v>10</v>
      </c>
      <c r="M528" s="3" t="s">
        <v>465</v>
      </c>
    </row>
    <row r="529" spans="1:13" x14ac:dyDescent="0.45">
      <c r="A529" s="123" t="s">
        <v>578</v>
      </c>
      <c r="B529" s="124"/>
      <c r="C529" s="124"/>
      <c r="D529" s="124"/>
      <c r="E529" s="65" t="s">
        <v>0</v>
      </c>
      <c r="F529" s="125" t="s">
        <v>578</v>
      </c>
      <c r="G529" s="124"/>
      <c r="H529" s="124"/>
      <c r="I529" s="65" t="s">
        <v>0</v>
      </c>
      <c r="J529" s="3"/>
      <c r="K529" s="58" t="s">
        <v>589</v>
      </c>
      <c r="L529" s="74">
        <f>$T$4</f>
        <v>2</v>
      </c>
      <c r="M529" s="3" t="s">
        <v>594</v>
      </c>
    </row>
    <row r="530" spans="1:13" ht="18.600000000000001" thickBot="1" x14ac:dyDescent="0.5">
      <c r="A530" s="116" t="s">
        <v>3</v>
      </c>
      <c r="B530" s="115"/>
      <c r="C530" s="115"/>
      <c r="D530" s="115"/>
      <c r="E530" s="67">
        <f>IF(真実の家賃!$L$1=TRUE,計算用1!E529,計算用2!E529)</f>
        <v>0</v>
      </c>
      <c r="F530" s="114" t="s">
        <v>7</v>
      </c>
      <c r="G530" s="115"/>
      <c r="H530" s="115"/>
      <c r="I530" s="70">
        <f t="shared" ref="I530" si="234">L528*5*L529</f>
        <v>100</v>
      </c>
      <c r="J530" s="3"/>
      <c r="K530" s="73" t="s">
        <v>628</v>
      </c>
      <c r="L530" s="72">
        <v>26</v>
      </c>
      <c r="M530" s="3" t="s">
        <v>468</v>
      </c>
    </row>
    <row r="531" spans="1:13" x14ac:dyDescent="0.45">
      <c r="A531" s="116" t="s">
        <v>6</v>
      </c>
      <c r="B531" s="115"/>
      <c r="C531" s="115"/>
      <c r="D531" s="115"/>
      <c r="E531" s="67">
        <f>IF(真実の家賃!$L$1=TRUE,計算用1!E530,計算用2!E530)</f>
        <v>238.79999999999998</v>
      </c>
      <c r="F531" s="111" t="s">
        <v>579</v>
      </c>
      <c r="G531" s="112"/>
      <c r="H531" s="112"/>
      <c r="I531" s="71">
        <f t="shared" ref="I531" si="235">I530</f>
        <v>100</v>
      </c>
      <c r="J531" s="3"/>
      <c r="K531" s="3"/>
      <c r="L531" s="3"/>
      <c r="M531" s="3"/>
    </row>
    <row r="532" spans="1:13" x14ac:dyDescent="0.45">
      <c r="A532" s="113" t="s">
        <v>579</v>
      </c>
      <c r="B532" s="112"/>
      <c r="C532" s="112"/>
      <c r="D532" s="112"/>
      <c r="E532" s="68">
        <f t="shared" ref="E532" si="236">SUM(E530:E531)</f>
        <v>238.79999999999998</v>
      </c>
      <c r="F532" s="114" t="s">
        <v>583</v>
      </c>
      <c r="G532" s="115"/>
      <c r="H532" s="115"/>
      <c r="I532" s="70">
        <f t="shared" ref="I532" si="237">L530*12*L528</f>
        <v>3120</v>
      </c>
      <c r="J532" s="3"/>
      <c r="K532" s="3"/>
      <c r="L532" s="3"/>
      <c r="M532" s="3"/>
    </row>
    <row r="533" spans="1:13" x14ac:dyDescent="0.45">
      <c r="A533" s="116" t="s">
        <v>580</v>
      </c>
      <c r="B533" s="115"/>
      <c r="C533" s="115"/>
      <c r="D533" s="115"/>
      <c r="E533" s="67">
        <f>IF(真実の家賃!$L$1=TRUE,計算用1!E532,計算用2!E532)</f>
        <v>3306.3888000000002</v>
      </c>
      <c r="F533" s="114" t="s">
        <v>596</v>
      </c>
      <c r="G533" s="115"/>
      <c r="H533" s="115"/>
      <c r="I533" s="70">
        <f>_xlfn.SWITCH(L530,1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130</v>
      </c>
      <c r="J533" s="3"/>
      <c r="K533" s="3"/>
      <c r="L533" s="3"/>
      <c r="M533" s="3"/>
    </row>
    <row r="534" spans="1:13" x14ac:dyDescent="0.45">
      <c r="A534" s="105" t="s">
        <v>581</v>
      </c>
      <c r="B534" s="106"/>
      <c r="C534" s="106"/>
      <c r="D534" s="106"/>
      <c r="E534" s="67">
        <f>IF(真実の家賃!$L$1=TRUE,計算用1!E533,計算用2!E533)</f>
        <v>390</v>
      </c>
      <c r="F534" s="111" t="s">
        <v>582</v>
      </c>
      <c r="G534" s="112"/>
      <c r="H534" s="112"/>
      <c r="I534" s="71">
        <f t="shared" ref="I534" si="238">SUM(I532:I533)</f>
        <v>3250</v>
      </c>
      <c r="J534" s="3"/>
      <c r="K534" s="3"/>
      <c r="L534" s="3"/>
      <c r="M534" s="3"/>
    </row>
    <row r="535" spans="1:13" x14ac:dyDescent="0.45">
      <c r="A535" s="116" t="s">
        <v>9</v>
      </c>
      <c r="B535" s="115"/>
      <c r="C535" s="115"/>
      <c r="D535" s="115"/>
      <c r="E535" s="67">
        <f>IF(真実の家賃!$L$1=TRUE,計算用1!E534,計算用2!E534)</f>
        <v>-295.74127519999996</v>
      </c>
      <c r="F535" s="110" t="s">
        <v>585</v>
      </c>
      <c r="G535" s="106"/>
      <c r="H535" s="106"/>
      <c r="I535" s="70">
        <f t="shared" ref="I535" si="239">15*L529</f>
        <v>30</v>
      </c>
      <c r="J535" s="3"/>
      <c r="K535" s="3"/>
      <c r="L535" s="3"/>
      <c r="M535" s="3"/>
    </row>
    <row r="536" spans="1:13" x14ac:dyDescent="0.45">
      <c r="A536" s="105" t="s">
        <v>10</v>
      </c>
      <c r="B536" s="106"/>
      <c r="C536" s="106"/>
      <c r="D536" s="106"/>
      <c r="E536" s="67">
        <f>IF(真実の家賃!$L$1=TRUE,計算用1!E535,計算用2!E535)</f>
        <v>0</v>
      </c>
      <c r="F536" s="109" t="s">
        <v>586</v>
      </c>
      <c r="G536" s="108"/>
      <c r="H536" s="108"/>
      <c r="I536" s="71">
        <f t="shared" ref="I536" si="240">I535</f>
        <v>30</v>
      </c>
      <c r="J536" s="3"/>
      <c r="K536" s="3"/>
      <c r="L536" s="3"/>
      <c r="M536" s="3"/>
    </row>
    <row r="537" spans="1:13" ht="18.600000000000001" thickBot="1" x14ac:dyDescent="0.5">
      <c r="A537" s="113" t="s">
        <v>582</v>
      </c>
      <c r="B537" s="112"/>
      <c r="C537" s="112"/>
      <c r="D537" s="112"/>
      <c r="E537" s="68">
        <f t="shared" ref="E537" si="241">E533+E534+E535+E536</f>
        <v>3400.6475248000002</v>
      </c>
      <c r="F537" s="103" t="s">
        <v>587</v>
      </c>
      <c r="G537" s="104"/>
      <c r="H537" s="104"/>
      <c r="I537" s="66">
        <f t="shared" ref="I537" si="242">I531+I534+I536</f>
        <v>3380</v>
      </c>
      <c r="J537" s="3"/>
      <c r="K537" s="3"/>
      <c r="L537" s="3"/>
      <c r="M537" s="3"/>
    </row>
    <row r="538" spans="1:13" x14ac:dyDescent="0.45">
      <c r="A538" s="105" t="s">
        <v>12</v>
      </c>
      <c r="B538" s="106"/>
      <c r="C538" s="106"/>
      <c r="D538" s="106"/>
      <c r="E538" s="67">
        <f>IF(真実の家賃!$L$1=TRUE,計算用1!E537,計算用2!E537)</f>
        <v>1111.4197999999999</v>
      </c>
      <c r="F538" s="3"/>
      <c r="G538" s="3"/>
      <c r="H538" s="3"/>
      <c r="I538" s="3"/>
      <c r="J538" s="3"/>
      <c r="K538" s="3"/>
      <c r="L538" s="3"/>
      <c r="M538" s="3"/>
    </row>
    <row r="539" spans="1:13" x14ac:dyDescent="0.45">
      <c r="A539" s="105" t="s">
        <v>584</v>
      </c>
      <c r="B539" s="106"/>
      <c r="C539" s="106"/>
      <c r="D539" s="106"/>
      <c r="E539" s="67">
        <f>IF(真実の家賃!$L$1=TRUE,計算用1!E538,計算用2!E538)</f>
        <v>125.37</v>
      </c>
      <c r="F539" s="3"/>
      <c r="G539" s="3"/>
      <c r="H539" s="3"/>
      <c r="I539" s="3"/>
      <c r="J539" s="3"/>
      <c r="K539" s="3"/>
      <c r="L539" s="3"/>
      <c r="M539" s="3"/>
    </row>
    <row r="540" spans="1:13" x14ac:dyDescent="0.45">
      <c r="A540" s="105" t="s">
        <v>585</v>
      </c>
      <c r="B540" s="106"/>
      <c r="C540" s="106"/>
      <c r="D540" s="106"/>
      <c r="E540" s="67">
        <f>$T$8</f>
        <v>15</v>
      </c>
      <c r="F540" s="3"/>
      <c r="G540" s="3"/>
      <c r="H540" s="3"/>
      <c r="I540" s="3"/>
      <c r="J540" s="3"/>
      <c r="K540" s="3"/>
      <c r="L540" s="3"/>
      <c r="M540" s="3"/>
    </row>
    <row r="541" spans="1:13" x14ac:dyDescent="0.45">
      <c r="A541" s="107" t="s">
        <v>586</v>
      </c>
      <c r="B541" s="108"/>
      <c r="C541" s="108"/>
      <c r="D541" s="108"/>
      <c r="E541" s="68">
        <f t="shared" ref="E541" si="243">SUM(E538:E540)</f>
        <v>1251.7898</v>
      </c>
      <c r="F541" s="3"/>
      <c r="G541" s="3"/>
      <c r="H541" s="3"/>
      <c r="I541" s="3"/>
      <c r="J541" s="3"/>
      <c r="K541" s="3"/>
      <c r="L541" s="3"/>
      <c r="M541" s="3"/>
    </row>
    <row r="542" spans="1:13" ht="18.600000000000001" thickBot="1" x14ac:dyDescent="0.5">
      <c r="A542" s="101" t="s">
        <v>587</v>
      </c>
      <c r="B542" s="102"/>
      <c r="C542" s="102"/>
      <c r="D542" s="102"/>
      <c r="E542" s="69">
        <f t="shared" ref="E542" si="244">E532+E537+E541</f>
        <v>4891.2373248000004</v>
      </c>
      <c r="F542" s="3"/>
      <c r="G542" s="3"/>
      <c r="H542" s="3"/>
      <c r="I542" s="3"/>
      <c r="J542" s="3"/>
      <c r="K542" s="3"/>
      <c r="L542" s="3"/>
      <c r="M542" s="3"/>
    </row>
    <row r="543" spans="1:13" x14ac:dyDescent="0.4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x14ac:dyDescent="0.4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x14ac:dyDescent="0.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x14ac:dyDescent="0.4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x14ac:dyDescent="0.4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8.600000000000001" thickBot="1" x14ac:dyDescent="0.5">
      <c r="A548" s="10" t="s">
        <v>588</v>
      </c>
      <c r="B548" s="61"/>
      <c r="C548" s="61"/>
      <c r="D548" s="61"/>
      <c r="E548" s="61"/>
      <c r="F548" s="61"/>
      <c r="G548" s="61"/>
      <c r="H548" s="100" t="s">
        <v>1</v>
      </c>
      <c r="I548" s="100"/>
      <c r="J548" s="3"/>
      <c r="K548" s="3"/>
      <c r="L548" s="3"/>
      <c r="M548" s="3"/>
    </row>
    <row r="549" spans="1:13" x14ac:dyDescent="0.45">
      <c r="A549" s="117" t="s">
        <v>576</v>
      </c>
      <c r="B549" s="118"/>
      <c r="C549" s="118"/>
      <c r="D549" s="118"/>
      <c r="E549" s="119"/>
      <c r="F549" s="120" t="s">
        <v>577</v>
      </c>
      <c r="G549" s="121"/>
      <c r="H549" s="121"/>
      <c r="I549" s="122"/>
      <c r="J549" s="3"/>
      <c r="K549" s="44" t="s">
        <v>590</v>
      </c>
      <c r="L549" s="39">
        <f>損益分岐点!$M$2</f>
        <v>10</v>
      </c>
      <c r="M549" s="3" t="s">
        <v>465</v>
      </c>
    </row>
    <row r="550" spans="1:13" x14ac:dyDescent="0.45">
      <c r="A550" s="123" t="s">
        <v>578</v>
      </c>
      <c r="B550" s="124"/>
      <c r="C550" s="124"/>
      <c r="D550" s="124"/>
      <c r="E550" s="65" t="s">
        <v>0</v>
      </c>
      <c r="F550" s="125" t="s">
        <v>578</v>
      </c>
      <c r="G550" s="124"/>
      <c r="H550" s="124"/>
      <c r="I550" s="65" t="s">
        <v>0</v>
      </c>
      <c r="J550" s="3"/>
      <c r="K550" s="58" t="s">
        <v>589</v>
      </c>
      <c r="L550" s="74">
        <f>$T$4</f>
        <v>2</v>
      </c>
      <c r="M550" s="3" t="s">
        <v>594</v>
      </c>
    </row>
    <row r="551" spans="1:13" ht="18.600000000000001" thickBot="1" x14ac:dyDescent="0.5">
      <c r="A551" s="116" t="s">
        <v>3</v>
      </c>
      <c r="B551" s="115"/>
      <c r="C551" s="115"/>
      <c r="D551" s="115"/>
      <c r="E551" s="67">
        <f>IF(真実の家賃!$L$1=TRUE,計算用1!E550,計算用2!E550)</f>
        <v>0</v>
      </c>
      <c r="F551" s="114" t="s">
        <v>7</v>
      </c>
      <c r="G551" s="115"/>
      <c r="H551" s="115"/>
      <c r="I551" s="70">
        <f t="shared" ref="I551" si="245">L549*5*L550</f>
        <v>100</v>
      </c>
      <c r="J551" s="3"/>
      <c r="K551" s="73" t="s">
        <v>628</v>
      </c>
      <c r="L551" s="72">
        <v>27</v>
      </c>
      <c r="M551" s="3" t="s">
        <v>468</v>
      </c>
    </row>
    <row r="552" spans="1:13" x14ac:dyDescent="0.45">
      <c r="A552" s="116" t="s">
        <v>6</v>
      </c>
      <c r="B552" s="115"/>
      <c r="C552" s="115"/>
      <c r="D552" s="115"/>
      <c r="E552" s="67">
        <f>IF(真実の家賃!$L$1=TRUE,計算用1!E551,計算用2!E551)</f>
        <v>238.79999999999998</v>
      </c>
      <c r="F552" s="111" t="s">
        <v>579</v>
      </c>
      <c r="G552" s="112"/>
      <c r="H552" s="112"/>
      <c r="I552" s="71">
        <f t="shared" ref="I552" si="246">I551</f>
        <v>100</v>
      </c>
      <c r="J552" s="3"/>
      <c r="K552" s="3"/>
      <c r="L552" s="3"/>
      <c r="M552" s="3"/>
    </row>
    <row r="553" spans="1:13" x14ac:dyDescent="0.45">
      <c r="A553" s="113" t="s">
        <v>579</v>
      </c>
      <c r="B553" s="112"/>
      <c r="C553" s="112"/>
      <c r="D553" s="112"/>
      <c r="E553" s="68">
        <f t="shared" ref="E553" si="247">SUM(E551:E552)</f>
        <v>238.79999999999998</v>
      </c>
      <c r="F553" s="114" t="s">
        <v>583</v>
      </c>
      <c r="G553" s="115"/>
      <c r="H553" s="115"/>
      <c r="I553" s="70">
        <f t="shared" ref="I553" si="248">L551*12*L549</f>
        <v>3240</v>
      </c>
      <c r="J553" s="3"/>
      <c r="K553" s="3"/>
      <c r="L553" s="3"/>
      <c r="M553" s="3"/>
    </row>
    <row r="554" spans="1:13" x14ac:dyDescent="0.45">
      <c r="A554" s="116" t="s">
        <v>580</v>
      </c>
      <c r="B554" s="115"/>
      <c r="C554" s="115"/>
      <c r="D554" s="115"/>
      <c r="E554" s="67">
        <f>IF(真実の家賃!$L$1=TRUE,計算用1!E553,計算用2!E553)</f>
        <v>3433.5576000000001</v>
      </c>
      <c r="F554" s="114" t="s">
        <v>596</v>
      </c>
      <c r="G554" s="115"/>
      <c r="H554" s="115"/>
      <c r="I554" s="70">
        <f>_xlfn.SWITCH(L551,1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130</v>
      </c>
      <c r="J554" s="3"/>
      <c r="K554" s="3"/>
      <c r="L554" s="3"/>
      <c r="M554" s="3"/>
    </row>
    <row r="555" spans="1:13" x14ac:dyDescent="0.45">
      <c r="A555" s="105" t="s">
        <v>581</v>
      </c>
      <c r="B555" s="106"/>
      <c r="C555" s="106"/>
      <c r="D555" s="106"/>
      <c r="E555" s="67">
        <f>IF(真実の家賃!$L$1=TRUE,計算用1!E554,計算用2!E554)</f>
        <v>405</v>
      </c>
      <c r="F555" s="111" t="s">
        <v>582</v>
      </c>
      <c r="G555" s="112"/>
      <c r="H555" s="112"/>
      <c r="I555" s="71">
        <f t="shared" ref="I555" si="249">SUM(I553:I554)</f>
        <v>3370</v>
      </c>
      <c r="J555" s="3"/>
      <c r="K555" s="3"/>
      <c r="L555" s="3"/>
      <c r="M555" s="3"/>
    </row>
    <row r="556" spans="1:13" x14ac:dyDescent="0.45">
      <c r="A556" s="116" t="s">
        <v>9</v>
      </c>
      <c r="B556" s="115"/>
      <c r="C556" s="115"/>
      <c r="D556" s="115"/>
      <c r="E556" s="67">
        <f>IF(真実の家賃!$L$1=TRUE,計算用1!E555,計算用2!E555)</f>
        <v>-295.74127519999996</v>
      </c>
      <c r="F556" s="110" t="s">
        <v>585</v>
      </c>
      <c r="G556" s="106"/>
      <c r="H556" s="106"/>
      <c r="I556" s="70">
        <f t="shared" ref="I556" si="250">15*L550</f>
        <v>30</v>
      </c>
      <c r="J556" s="3"/>
      <c r="K556" s="3"/>
      <c r="L556" s="3"/>
      <c r="M556" s="3"/>
    </row>
    <row r="557" spans="1:13" x14ac:dyDescent="0.45">
      <c r="A557" s="105" t="s">
        <v>10</v>
      </c>
      <c r="B557" s="106"/>
      <c r="C557" s="106"/>
      <c r="D557" s="106"/>
      <c r="E557" s="67">
        <f>IF(真実の家賃!$L$1=TRUE,計算用1!E556,計算用2!E556)</f>
        <v>0</v>
      </c>
      <c r="F557" s="109" t="s">
        <v>586</v>
      </c>
      <c r="G557" s="108"/>
      <c r="H557" s="108"/>
      <c r="I557" s="71">
        <f t="shared" ref="I557" si="251">I556</f>
        <v>30</v>
      </c>
      <c r="J557" s="3"/>
      <c r="K557" s="3"/>
      <c r="L557" s="3"/>
      <c r="M557" s="3"/>
    </row>
    <row r="558" spans="1:13" ht="18.600000000000001" thickBot="1" x14ac:dyDescent="0.5">
      <c r="A558" s="113" t="s">
        <v>582</v>
      </c>
      <c r="B558" s="112"/>
      <c r="C558" s="112"/>
      <c r="D558" s="112"/>
      <c r="E558" s="68">
        <f t="shared" ref="E558" si="252">E554+E555+E556+E557</f>
        <v>3542.8163248000001</v>
      </c>
      <c r="F558" s="103" t="s">
        <v>587</v>
      </c>
      <c r="G558" s="104"/>
      <c r="H558" s="104"/>
      <c r="I558" s="66">
        <f t="shared" ref="I558" si="253">I552+I555+I557</f>
        <v>3500</v>
      </c>
      <c r="J558" s="3"/>
      <c r="K558" s="3"/>
      <c r="L558" s="3"/>
      <c r="M558" s="3"/>
    </row>
    <row r="559" spans="1:13" x14ac:dyDescent="0.45">
      <c r="A559" s="105" t="s">
        <v>12</v>
      </c>
      <c r="B559" s="106"/>
      <c r="C559" s="106"/>
      <c r="D559" s="106"/>
      <c r="E559" s="67">
        <f>IF(真実の家賃!$L$1=TRUE,計算用1!E558,計算用2!E558)</f>
        <v>991.11670000000004</v>
      </c>
      <c r="F559" s="3"/>
      <c r="G559" s="3"/>
      <c r="H559" s="3"/>
      <c r="I559" s="3"/>
      <c r="J559" s="3"/>
      <c r="K559" s="3"/>
      <c r="L559" s="3"/>
      <c r="M559" s="3"/>
    </row>
    <row r="560" spans="1:13" x14ac:dyDescent="0.45">
      <c r="A560" s="105" t="s">
        <v>584</v>
      </c>
      <c r="B560" s="106"/>
      <c r="C560" s="106"/>
      <c r="D560" s="106"/>
      <c r="E560" s="67">
        <f>IF(真実の家賃!$L$1=TRUE,計算用1!E559,計算用2!E559)</f>
        <v>125.37</v>
      </c>
      <c r="F560" s="3"/>
      <c r="G560" s="3"/>
      <c r="H560" s="3"/>
      <c r="I560" s="3"/>
      <c r="J560" s="3"/>
      <c r="K560" s="3"/>
      <c r="L560" s="3"/>
      <c r="M560" s="3"/>
    </row>
    <row r="561" spans="1:13" x14ac:dyDescent="0.45">
      <c r="A561" s="105" t="s">
        <v>585</v>
      </c>
      <c r="B561" s="106"/>
      <c r="C561" s="106"/>
      <c r="D561" s="106"/>
      <c r="E561" s="67">
        <f>$T$8</f>
        <v>15</v>
      </c>
      <c r="F561" s="3"/>
      <c r="G561" s="3"/>
      <c r="H561" s="3"/>
      <c r="I561" s="3"/>
      <c r="J561" s="3"/>
      <c r="K561" s="3"/>
      <c r="L561" s="3"/>
      <c r="M561" s="3"/>
    </row>
    <row r="562" spans="1:13" x14ac:dyDescent="0.45">
      <c r="A562" s="107" t="s">
        <v>586</v>
      </c>
      <c r="B562" s="108"/>
      <c r="C562" s="108"/>
      <c r="D562" s="108"/>
      <c r="E562" s="68">
        <f t="shared" ref="E562" si="254">SUM(E559:E561)</f>
        <v>1131.4866999999999</v>
      </c>
      <c r="F562" s="3"/>
      <c r="G562" s="3"/>
      <c r="H562" s="3"/>
      <c r="I562" s="3"/>
      <c r="J562" s="3"/>
      <c r="K562" s="3"/>
      <c r="L562" s="3"/>
      <c r="M562" s="3"/>
    </row>
    <row r="563" spans="1:13" ht="18.600000000000001" thickBot="1" x14ac:dyDescent="0.5">
      <c r="A563" s="101" t="s">
        <v>587</v>
      </c>
      <c r="B563" s="102"/>
      <c r="C563" s="102"/>
      <c r="D563" s="102"/>
      <c r="E563" s="69">
        <f t="shared" ref="E563" si="255">E553+E558+E562</f>
        <v>4913.1030248000006</v>
      </c>
      <c r="F563" s="3"/>
      <c r="G563" s="3"/>
      <c r="H563" s="3"/>
      <c r="I563" s="3"/>
      <c r="J563" s="3"/>
      <c r="K563" s="3"/>
      <c r="L563" s="3"/>
      <c r="M563" s="3"/>
    </row>
    <row r="564" spans="1:13" x14ac:dyDescent="0.4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x14ac:dyDescent="0.4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x14ac:dyDescent="0.4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x14ac:dyDescent="0.4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x14ac:dyDescent="0.4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8.600000000000001" thickBot="1" x14ac:dyDescent="0.5">
      <c r="A569" s="10" t="s">
        <v>588</v>
      </c>
      <c r="B569" s="61"/>
      <c r="C569" s="61"/>
      <c r="D569" s="61"/>
      <c r="E569" s="61"/>
      <c r="F569" s="61"/>
      <c r="G569" s="61"/>
      <c r="H569" s="100" t="s">
        <v>1</v>
      </c>
      <c r="I569" s="100"/>
      <c r="J569" s="3"/>
      <c r="K569" s="3"/>
      <c r="L569" s="3"/>
      <c r="M569" s="3"/>
    </row>
    <row r="570" spans="1:13" x14ac:dyDescent="0.45">
      <c r="A570" s="117" t="s">
        <v>576</v>
      </c>
      <c r="B570" s="118"/>
      <c r="C570" s="118"/>
      <c r="D570" s="118"/>
      <c r="E570" s="119"/>
      <c r="F570" s="120" t="s">
        <v>577</v>
      </c>
      <c r="G570" s="121"/>
      <c r="H570" s="121"/>
      <c r="I570" s="122"/>
      <c r="J570" s="3"/>
      <c r="K570" s="44" t="s">
        <v>590</v>
      </c>
      <c r="L570" s="39">
        <f>損益分岐点!$M$2</f>
        <v>10</v>
      </c>
      <c r="M570" s="3" t="s">
        <v>465</v>
      </c>
    </row>
    <row r="571" spans="1:13" x14ac:dyDescent="0.45">
      <c r="A571" s="123" t="s">
        <v>578</v>
      </c>
      <c r="B571" s="124"/>
      <c r="C571" s="124"/>
      <c r="D571" s="124"/>
      <c r="E571" s="65" t="s">
        <v>0</v>
      </c>
      <c r="F571" s="125" t="s">
        <v>578</v>
      </c>
      <c r="G571" s="124"/>
      <c r="H571" s="124"/>
      <c r="I571" s="65" t="s">
        <v>0</v>
      </c>
      <c r="J571" s="3"/>
      <c r="K571" s="58" t="s">
        <v>589</v>
      </c>
      <c r="L571" s="74">
        <f>$T$4</f>
        <v>2</v>
      </c>
      <c r="M571" s="3" t="s">
        <v>594</v>
      </c>
    </row>
    <row r="572" spans="1:13" ht="18.600000000000001" thickBot="1" x14ac:dyDescent="0.5">
      <c r="A572" s="116" t="s">
        <v>3</v>
      </c>
      <c r="B572" s="115"/>
      <c r="C572" s="115"/>
      <c r="D572" s="115"/>
      <c r="E572" s="67">
        <f>IF(真実の家賃!$L$1=TRUE,計算用1!E571,計算用2!E571)</f>
        <v>0</v>
      </c>
      <c r="F572" s="114" t="s">
        <v>7</v>
      </c>
      <c r="G572" s="115"/>
      <c r="H572" s="115"/>
      <c r="I572" s="70">
        <f t="shared" ref="I572" si="256">L570*5*L571</f>
        <v>100</v>
      </c>
      <c r="J572" s="3"/>
      <c r="K572" s="73" t="s">
        <v>628</v>
      </c>
      <c r="L572" s="72">
        <v>28</v>
      </c>
      <c r="M572" s="3" t="s">
        <v>468</v>
      </c>
    </row>
    <row r="573" spans="1:13" x14ac:dyDescent="0.45">
      <c r="A573" s="116" t="s">
        <v>6</v>
      </c>
      <c r="B573" s="115"/>
      <c r="C573" s="115"/>
      <c r="D573" s="115"/>
      <c r="E573" s="67">
        <f>IF(真実の家賃!$L$1=TRUE,計算用1!E572,計算用2!E572)</f>
        <v>238.79999999999998</v>
      </c>
      <c r="F573" s="111" t="s">
        <v>579</v>
      </c>
      <c r="G573" s="112"/>
      <c r="H573" s="112"/>
      <c r="I573" s="71">
        <f t="shared" ref="I573" si="257">I572</f>
        <v>100</v>
      </c>
      <c r="J573" s="3"/>
      <c r="K573" s="3"/>
      <c r="L573" s="3"/>
      <c r="M573" s="3"/>
    </row>
    <row r="574" spans="1:13" x14ac:dyDescent="0.45">
      <c r="A574" s="113" t="s">
        <v>579</v>
      </c>
      <c r="B574" s="112"/>
      <c r="C574" s="112"/>
      <c r="D574" s="112"/>
      <c r="E574" s="68">
        <f t="shared" ref="E574" si="258">SUM(E572:E573)</f>
        <v>238.79999999999998</v>
      </c>
      <c r="F574" s="114" t="s">
        <v>583</v>
      </c>
      <c r="G574" s="115"/>
      <c r="H574" s="115"/>
      <c r="I574" s="70">
        <f t="shared" ref="I574" si="259">L572*12*L570</f>
        <v>3360</v>
      </c>
      <c r="J574" s="3"/>
      <c r="K574" s="3"/>
      <c r="L574" s="3"/>
      <c r="M574" s="3"/>
    </row>
    <row r="575" spans="1:13" x14ac:dyDescent="0.45">
      <c r="A575" s="116" t="s">
        <v>580</v>
      </c>
      <c r="B575" s="115"/>
      <c r="C575" s="115"/>
      <c r="D575" s="115"/>
      <c r="E575" s="67">
        <f>IF(真実の家賃!$L$1=TRUE,計算用1!E574,計算用2!E574)</f>
        <v>3560.7264</v>
      </c>
      <c r="F575" s="114" t="s">
        <v>596</v>
      </c>
      <c r="G575" s="115"/>
      <c r="H575" s="115"/>
      <c r="I575" s="70">
        <f>_xlfn.SWITCH(L572,1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140</v>
      </c>
      <c r="J575" s="3"/>
      <c r="K575" s="3"/>
      <c r="L575" s="3"/>
      <c r="M575" s="3"/>
    </row>
    <row r="576" spans="1:13" x14ac:dyDescent="0.45">
      <c r="A576" s="105" t="s">
        <v>581</v>
      </c>
      <c r="B576" s="106"/>
      <c r="C576" s="106"/>
      <c r="D576" s="106"/>
      <c r="E576" s="67">
        <f>IF(真実の家賃!$L$1=TRUE,計算用1!E575,計算用2!E575)</f>
        <v>420</v>
      </c>
      <c r="F576" s="111" t="s">
        <v>582</v>
      </c>
      <c r="G576" s="112"/>
      <c r="H576" s="112"/>
      <c r="I576" s="71">
        <f t="shared" ref="I576" si="260">SUM(I574:I575)</f>
        <v>3500</v>
      </c>
      <c r="J576" s="3"/>
      <c r="K576" s="3"/>
      <c r="L576" s="3"/>
      <c r="M576" s="3"/>
    </row>
    <row r="577" spans="1:13" x14ac:dyDescent="0.45">
      <c r="A577" s="116" t="s">
        <v>9</v>
      </c>
      <c r="B577" s="115"/>
      <c r="C577" s="115"/>
      <c r="D577" s="115"/>
      <c r="E577" s="67">
        <f>IF(真実の家賃!$L$1=TRUE,計算用1!E576,計算用2!E576)</f>
        <v>-295.74127519999996</v>
      </c>
      <c r="F577" s="110" t="s">
        <v>585</v>
      </c>
      <c r="G577" s="106"/>
      <c r="H577" s="106"/>
      <c r="I577" s="70">
        <f t="shared" ref="I577" si="261">15*L571</f>
        <v>30</v>
      </c>
      <c r="J577" s="3"/>
      <c r="K577" s="3"/>
      <c r="L577" s="3"/>
      <c r="M577" s="3"/>
    </row>
    <row r="578" spans="1:13" x14ac:dyDescent="0.45">
      <c r="A578" s="105" t="s">
        <v>10</v>
      </c>
      <c r="B578" s="106"/>
      <c r="C578" s="106"/>
      <c r="D578" s="106"/>
      <c r="E578" s="67">
        <f>IF(真実の家賃!$L$1=TRUE,計算用1!E577,計算用2!E577)</f>
        <v>0</v>
      </c>
      <c r="F578" s="109" t="s">
        <v>586</v>
      </c>
      <c r="G578" s="108"/>
      <c r="H578" s="108"/>
      <c r="I578" s="71">
        <f t="shared" ref="I578" si="262">I577</f>
        <v>30</v>
      </c>
      <c r="J578" s="3"/>
      <c r="K578" s="3"/>
      <c r="L578" s="3"/>
      <c r="M578" s="3"/>
    </row>
    <row r="579" spans="1:13" ht="18.600000000000001" thickBot="1" x14ac:dyDescent="0.5">
      <c r="A579" s="113" t="s">
        <v>582</v>
      </c>
      <c r="B579" s="112"/>
      <c r="C579" s="112"/>
      <c r="D579" s="112"/>
      <c r="E579" s="68">
        <f t="shared" ref="E579" si="263">E575+E576+E577+E578</f>
        <v>3684.9851248</v>
      </c>
      <c r="F579" s="103" t="s">
        <v>587</v>
      </c>
      <c r="G579" s="104"/>
      <c r="H579" s="104"/>
      <c r="I579" s="66">
        <f t="shared" ref="I579" si="264">I573+I576+I578</f>
        <v>3630</v>
      </c>
      <c r="J579" s="3"/>
      <c r="K579" s="3"/>
      <c r="L579" s="3"/>
      <c r="M579" s="3"/>
    </row>
    <row r="580" spans="1:13" x14ac:dyDescent="0.45">
      <c r="A580" s="105" t="s">
        <v>12</v>
      </c>
      <c r="B580" s="106"/>
      <c r="C580" s="106"/>
      <c r="D580" s="106"/>
      <c r="E580" s="67">
        <f>IF(真実の家賃!$L$1=TRUE,計算用1!E579,計算用2!E579)</f>
        <v>870.02930000000003</v>
      </c>
      <c r="F580" s="3"/>
      <c r="G580" s="3"/>
      <c r="H580" s="3"/>
      <c r="I580" s="3"/>
      <c r="J580" s="3"/>
      <c r="K580" s="3"/>
      <c r="L580" s="3"/>
      <c r="M580" s="3"/>
    </row>
    <row r="581" spans="1:13" x14ac:dyDescent="0.45">
      <c r="A581" s="105" t="s">
        <v>584</v>
      </c>
      <c r="B581" s="106"/>
      <c r="C581" s="106"/>
      <c r="D581" s="106"/>
      <c r="E581" s="67">
        <f>IF(真実の家賃!$L$1=TRUE,計算用1!E580,計算用2!E580)</f>
        <v>125.37</v>
      </c>
      <c r="F581" s="3"/>
      <c r="G581" s="3"/>
      <c r="H581" s="3"/>
      <c r="I581" s="3"/>
      <c r="J581" s="3"/>
      <c r="K581" s="3"/>
      <c r="L581" s="3"/>
      <c r="M581" s="3"/>
    </row>
    <row r="582" spans="1:13" x14ac:dyDescent="0.45">
      <c r="A582" s="105" t="s">
        <v>585</v>
      </c>
      <c r="B582" s="106"/>
      <c r="C582" s="106"/>
      <c r="D582" s="106"/>
      <c r="E582" s="67">
        <f>$T$8</f>
        <v>15</v>
      </c>
      <c r="F582" s="3"/>
      <c r="G582" s="3"/>
      <c r="H582" s="3"/>
      <c r="I582" s="3"/>
      <c r="J582" s="3"/>
      <c r="K582" s="3"/>
      <c r="L582" s="3"/>
      <c r="M582" s="3"/>
    </row>
    <row r="583" spans="1:13" x14ac:dyDescent="0.45">
      <c r="A583" s="107" t="s">
        <v>586</v>
      </c>
      <c r="B583" s="108"/>
      <c r="C583" s="108"/>
      <c r="D583" s="108"/>
      <c r="E583" s="68">
        <f t="shared" ref="E583" si="265">SUM(E580:E582)</f>
        <v>1010.3993</v>
      </c>
      <c r="F583" s="3"/>
      <c r="G583" s="3"/>
      <c r="H583" s="3"/>
      <c r="I583" s="3"/>
      <c r="J583" s="3"/>
      <c r="K583" s="3"/>
      <c r="L583" s="3"/>
      <c r="M583" s="3"/>
    </row>
    <row r="584" spans="1:13" ht="18.600000000000001" thickBot="1" x14ac:dyDescent="0.5">
      <c r="A584" s="101" t="s">
        <v>587</v>
      </c>
      <c r="B584" s="102"/>
      <c r="C584" s="102"/>
      <c r="D584" s="102"/>
      <c r="E584" s="69">
        <f t="shared" ref="E584" si="266">E574+E579+E583</f>
        <v>4934.1844247999998</v>
      </c>
      <c r="F584" s="3"/>
      <c r="G584" s="3"/>
      <c r="H584" s="3"/>
      <c r="I584" s="3"/>
      <c r="J584" s="3"/>
      <c r="K584" s="3"/>
      <c r="L584" s="3"/>
      <c r="M584" s="3"/>
    </row>
    <row r="585" spans="1:13" x14ac:dyDescent="0.4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x14ac:dyDescent="0.4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x14ac:dyDescent="0.4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x14ac:dyDescent="0.4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x14ac:dyDescent="0.4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8.600000000000001" thickBot="1" x14ac:dyDescent="0.5">
      <c r="A590" s="10" t="s">
        <v>588</v>
      </c>
      <c r="B590" s="61"/>
      <c r="C590" s="61"/>
      <c r="D590" s="61"/>
      <c r="E590" s="61"/>
      <c r="F590" s="61"/>
      <c r="G590" s="61"/>
      <c r="H590" s="100" t="s">
        <v>1</v>
      </c>
      <c r="I590" s="100"/>
      <c r="J590" s="3"/>
      <c r="K590" s="3"/>
      <c r="L590" s="3"/>
      <c r="M590" s="3"/>
    </row>
    <row r="591" spans="1:13" x14ac:dyDescent="0.45">
      <c r="A591" s="117" t="s">
        <v>576</v>
      </c>
      <c r="B591" s="118"/>
      <c r="C591" s="118"/>
      <c r="D591" s="118"/>
      <c r="E591" s="119"/>
      <c r="F591" s="120" t="s">
        <v>577</v>
      </c>
      <c r="G591" s="121"/>
      <c r="H591" s="121"/>
      <c r="I591" s="122"/>
      <c r="J591" s="3"/>
      <c r="K591" s="44" t="s">
        <v>590</v>
      </c>
      <c r="L591" s="39">
        <f>損益分岐点!$M$2</f>
        <v>10</v>
      </c>
      <c r="M591" s="3" t="s">
        <v>465</v>
      </c>
    </row>
    <row r="592" spans="1:13" x14ac:dyDescent="0.45">
      <c r="A592" s="123" t="s">
        <v>578</v>
      </c>
      <c r="B592" s="124"/>
      <c r="C592" s="124"/>
      <c r="D592" s="124"/>
      <c r="E592" s="65" t="s">
        <v>0</v>
      </c>
      <c r="F592" s="125" t="s">
        <v>578</v>
      </c>
      <c r="G592" s="124"/>
      <c r="H592" s="124"/>
      <c r="I592" s="65" t="s">
        <v>0</v>
      </c>
      <c r="J592" s="3"/>
      <c r="K592" s="58" t="s">
        <v>589</v>
      </c>
      <c r="L592" s="74">
        <f>$T$4</f>
        <v>2</v>
      </c>
      <c r="M592" s="3" t="s">
        <v>594</v>
      </c>
    </row>
    <row r="593" spans="1:13" ht="18.600000000000001" thickBot="1" x14ac:dyDescent="0.5">
      <c r="A593" s="116" t="s">
        <v>3</v>
      </c>
      <c r="B593" s="115"/>
      <c r="C593" s="115"/>
      <c r="D593" s="115"/>
      <c r="E593" s="67">
        <f>IF(真実の家賃!$L$1=TRUE,計算用1!E592,計算用2!E592)</f>
        <v>0</v>
      </c>
      <c r="F593" s="114" t="s">
        <v>7</v>
      </c>
      <c r="G593" s="115"/>
      <c r="H593" s="115"/>
      <c r="I593" s="70">
        <f t="shared" ref="I593" si="267">L591*5*L592</f>
        <v>100</v>
      </c>
      <c r="J593" s="3"/>
      <c r="K593" s="73" t="s">
        <v>628</v>
      </c>
      <c r="L593" s="72">
        <v>29</v>
      </c>
      <c r="M593" s="3" t="s">
        <v>468</v>
      </c>
    </row>
    <row r="594" spans="1:13" x14ac:dyDescent="0.45">
      <c r="A594" s="116" t="s">
        <v>6</v>
      </c>
      <c r="B594" s="115"/>
      <c r="C594" s="115"/>
      <c r="D594" s="115"/>
      <c r="E594" s="67">
        <f>IF(真実の家賃!$L$1=TRUE,計算用1!E593,計算用2!E593)</f>
        <v>238.79999999999998</v>
      </c>
      <c r="F594" s="111" t="s">
        <v>579</v>
      </c>
      <c r="G594" s="112"/>
      <c r="H594" s="112"/>
      <c r="I594" s="71">
        <f t="shared" ref="I594" si="268">I593</f>
        <v>100</v>
      </c>
      <c r="J594" s="3"/>
      <c r="K594" s="3"/>
      <c r="L594" s="3"/>
      <c r="M594" s="3"/>
    </row>
    <row r="595" spans="1:13" x14ac:dyDescent="0.45">
      <c r="A595" s="113" t="s">
        <v>579</v>
      </c>
      <c r="B595" s="112"/>
      <c r="C595" s="112"/>
      <c r="D595" s="112"/>
      <c r="E595" s="68">
        <f t="shared" ref="E595" si="269">SUM(E593:E594)</f>
        <v>238.79999999999998</v>
      </c>
      <c r="F595" s="114" t="s">
        <v>583</v>
      </c>
      <c r="G595" s="115"/>
      <c r="H595" s="115"/>
      <c r="I595" s="70">
        <f t="shared" ref="I595" si="270">L593*12*L591</f>
        <v>3480</v>
      </c>
      <c r="J595" s="3"/>
      <c r="K595" s="3"/>
      <c r="L595" s="3"/>
      <c r="M595" s="3"/>
    </row>
    <row r="596" spans="1:13" x14ac:dyDescent="0.45">
      <c r="A596" s="116" t="s">
        <v>580</v>
      </c>
      <c r="B596" s="115"/>
      <c r="C596" s="115"/>
      <c r="D596" s="115"/>
      <c r="E596" s="67">
        <f>IF(真実の家賃!$L$1=TRUE,計算用1!E595,計算用2!E595)</f>
        <v>3687.8951999999999</v>
      </c>
      <c r="F596" s="114" t="s">
        <v>596</v>
      </c>
      <c r="G596" s="115"/>
      <c r="H596" s="115"/>
      <c r="I596" s="70">
        <f>_xlfn.SWITCH(L593,1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140</v>
      </c>
      <c r="J596" s="3"/>
      <c r="K596" s="3"/>
      <c r="L596" s="3"/>
      <c r="M596" s="3"/>
    </row>
    <row r="597" spans="1:13" x14ac:dyDescent="0.45">
      <c r="A597" s="105" t="s">
        <v>581</v>
      </c>
      <c r="B597" s="106"/>
      <c r="C597" s="106"/>
      <c r="D597" s="106"/>
      <c r="E597" s="67">
        <f>IF(真実の家賃!$L$1=TRUE,計算用1!E596,計算用2!E596)</f>
        <v>435</v>
      </c>
      <c r="F597" s="111" t="s">
        <v>582</v>
      </c>
      <c r="G597" s="112"/>
      <c r="H597" s="112"/>
      <c r="I597" s="71">
        <f t="shared" ref="I597" si="271">SUM(I595:I596)</f>
        <v>3620</v>
      </c>
      <c r="J597" s="3"/>
      <c r="K597" s="3"/>
      <c r="L597" s="3"/>
      <c r="M597" s="3"/>
    </row>
    <row r="598" spans="1:13" x14ac:dyDescent="0.45">
      <c r="A598" s="116" t="s">
        <v>9</v>
      </c>
      <c r="B598" s="115"/>
      <c r="C598" s="115"/>
      <c r="D598" s="115"/>
      <c r="E598" s="67">
        <f>IF(真実の家賃!$L$1=TRUE,計算用1!E597,計算用2!E597)</f>
        <v>-295.74127519999996</v>
      </c>
      <c r="F598" s="110" t="s">
        <v>585</v>
      </c>
      <c r="G598" s="106"/>
      <c r="H598" s="106"/>
      <c r="I598" s="70">
        <f t="shared" ref="I598" si="272">15*L592</f>
        <v>30</v>
      </c>
      <c r="J598" s="3"/>
      <c r="K598" s="3"/>
      <c r="L598" s="3"/>
      <c r="M598" s="3"/>
    </row>
    <row r="599" spans="1:13" x14ac:dyDescent="0.45">
      <c r="A599" s="105" t="s">
        <v>10</v>
      </c>
      <c r="B599" s="106"/>
      <c r="C599" s="106"/>
      <c r="D599" s="106"/>
      <c r="E599" s="67">
        <f>IF(真実の家賃!$L$1=TRUE,計算用1!E598,計算用2!E598)</f>
        <v>0</v>
      </c>
      <c r="F599" s="109" t="s">
        <v>586</v>
      </c>
      <c r="G599" s="108"/>
      <c r="H599" s="108"/>
      <c r="I599" s="71">
        <f t="shared" ref="I599" si="273">I598</f>
        <v>30</v>
      </c>
      <c r="J599" s="3"/>
      <c r="K599" s="3"/>
      <c r="L599" s="3"/>
      <c r="M599" s="3"/>
    </row>
    <row r="600" spans="1:13" ht="18.600000000000001" thickBot="1" x14ac:dyDescent="0.5">
      <c r="A600" s="113" t="s">
        <v>582</v>
      </c>
      <c r="B600" s="112"/>
      <c r="C600" s="112"/>
      <c r="D600" s="112"/>
      <c r="E600" s="68">
        <f t="shared" ref="E600" si="274">E596+E597+E598+E599</f>
        <v>3827.1539247999999</v>
      </c>
      <c r="F600" s="103" t="s">
        <v>587</v>
      </c>
      <c r="G600" s="104"/>
      <c r="H600" s="104"/>
      <c r="I600" s="66">
        <f t="shared" ref="I600" si="275">I594+I597+I599</f>
        <v>3750</v>
      </c>
      <c r="J600" s="3"/>
      <c r="K600" s="3"/>
      <c r="L600" s="3"/>
      <c r="M600" s="3"/>
    </row>
    <row r="601" spans="1:13" x14ac:dyDescent="0.45">
      <c r="A601" s="105" t="s">
        <v>12</v>
      </c>
      <c r="B601" s="106"/>
      <c r="C601" s="106"/>
      <c r="D601" s="106"/>
      <c r="E601" s="67">
        <f>IF(真実の家賃!$L$1=TRUE,計算用1!E600,計算用2!E600)</f>
        <v>748.15250000000003</v>
      </c>
      <c r="F601" s="3"/>
      <c r="G601" s="3"/>
      <c r="H601" s="3"/>
      <c r="I601" s="3"/>
      <c r="J601" s="3"/>
      <c r="K601" s="3"/>
      <c r="L601" s="3"/>
      <c r="M601" s="3"/>
    </row>
    <row r="602" spans="1:13" x14ac:dyDescent="0.45">
      <c r="A602" s="105" t="s">
        <v>584</v>
      </c>
      <c r="B602" s="106"/>
      <c r="C602" s="106"/>
      <c r="D602" s="106"/>
      <c r="E602" s="67">
        <f>IF(真実の家賃!$L$1=TRUE,計算用1!E601,計算用2!E601)</f>
        <v>125.37</v>
      </c>
      <c r="F602" s="3"/>
      <c r="G602" s="3"/>
      <c r="H602" s="3"/>
      <c r="I602" s="3"/>
      <c r="J602" s="3"/>
      <c r="K602" s="3"/>
      <c r="L602" s="3"/>
      <c r="M602" s="3"/>
    </row>
    <row r="603" spans="1:13" x14ac:dyDescent="0.45">
      <c r="A603" s="105" t="s">
        <v>585</v>
      </c>
      <c r="B603" s="106"/>
      <c r="C603" s="106"/>
      <c r="D603" s="106"/>
      <c r="E603" s="67">
        <f>$T$8</f>
        <v>15</v>
      </c>
      <c r="F603" s="3"/>
      <c r="G603" s="3"/>
      <c r="H603" s="3"/>
      <c r="I603" s="3"/>
      <c r="J603" s="3"/>
      <c r="K603" s="3"/>
      <c r="L603" s="3"/>
      <c r="M603" s="3"/>
    </row>
    <row r="604" spans="1:13" x14ac:dyDescent="0.45">
      <c r="A604" s="107" t="s">
        <v>586</v>
      </c>
      <c r="B604" s="108"/>
      <c r="C604" s="108"/>
      <c r="D604" s="108"/>
      <c r="E604" s="68">
        <f t="shared" ref="E604" si="276">SUM(E601:E603)</f>
        <v>888.52250000000004</v>
      </c>
      <c r="F604" s="3"/>
      <c r="G604" s="3"/>
      <c r="H604" s="3"/>
      <c r="I604" s="3"/>
      <c r="J604" s="3"/>
      <c r="K604" s="3"/>
      <c r="L604" s="3"/>
      <c r="M604" s="3"/>
    </row>
    <row r="605" spans="1:13" ht="18.600000000000001" thickBot="1" x14ac:dyDescent="0.5">
      <c r="A605" s="101" t="s">
        <v>587</v>
      </c>
      <c r="B605" s="102"/>
      <c r="C605" s="102"/>
      <c r="D605" s="102"/>
      <c r="E605" s="69">
        <f t="shared" ref="E605" si="277">E595+E600+E604</f>
        <v>4954.4764248000001</v>
      </c>
      <c r="F605" s="3"/>
      <c r="G605" s="3"/>
      <c r="H605" s="3"/>
      <c r="I605" s="3"/>
      <c r="J605" s="3"/>
      <c r="K605" s="3"/>
      <c r="L605" s="3"/>
      <c r="M605" s="3"/>
    </row>
    <row r="606" spans="1:13" x14ac:dyDescent="0.4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x14ac:dyDescent="0.4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x14ac:dyDescent="0.4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x14ac:dyDescent="0.4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x14ac:dyDescent="0.4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8.600000000000001" thickBot="1" x14ac:dyDescent="0.5">
      <c r="A611" s="10" t="s">
        <v>588</v>
      </c>
      <c r="B611" s="61"/>
      <c r="C611" s="61"/>
      <c r="D611" s="61"/>
      <c r="E611" s="61"/>
      <c r="F611" s="61"/>
      <c r="G611" s="61"/>
      <c r="H611" s="100" t="s">
        <v>1</v>
      </c>
      <c r="I611" s="100"/>
      <c r="J611" s="3"/>
      <c r="K611" s="3"/>
      <c r="L611" s="3"/>
      <c r="M611" s="3"/>
    </row>
    <row r="612" spans="1:13" x14ac:dyDescent="0.45">
      <c r="A612" s="117" t="s">
        <v>576</v>
      </c>
      <c r="B612" s="118"/>
      <c r="C612" s="118"/>
      <c r="D612" s="118"/>
      <c r="E612" s="119"/>
      <c r="F612" s="120" t="s">
        <v>577</v>
      </c>
      <c r="G612" s="121"/>
      <c r="H612" s="121"/>
      <c r="I612" s="122"/>
      <c r="J612" s="3"/>
      <c r="K612" s="44" t="s">
        <v>590</v>
      </c>
      <c r="L612" s="39">
        <f>損益分岐点!$M$2</f>
        <v>10</v>
      </c>
      <c r="M612" s="3" t="s">
        <v>465</v>
      </c>
    </row>
    <row r="613" spans="1:13" x14ac:dyDescent="0.45">
      <c r="A613" s="123" t="s">
        <v>578</v>
      </c>
      <c r="B613" s="124"/>
      <c r="C613" s="124"/>
      <c r="D613" s="124"/>
      <c r="E613" s="65" t="s">
        <v>0</v>
      </c>
      <c r="F613" s="125" t="s">
        <v>578</v>
      </c>
      <c r="G613" s="124"/>
      <c r="H613" s="124"/>
      <c r="I613" s="65" t="s">
        <v>0</v>
      </c>
      <c r="J613" s="3"/>
      <c r="K613" s="58" t="s">
        <v>589</v>
      </c>
      <c r="L613" s="74">
        <f>$T$4</f>
        <v>2</v>
      </c>
      <c r="M613" s="3" t="s">
        <v>594</v>
      </c>
    </row>
    <row r="614" spans="1:13" ht="18.600000000000001" thickBot="1" x14ac:dyDescent="0.5">
      <c r="A614" s="116" t="s">
        <v>3</v>
      </c>
      <c r="B614" s="115"/>
      <c r="C614" s="115"/>
      <c r="D614" s="115"/>
      <c r="E614" s="67">
        <f>IF(真実の家賃!$L$1=TRUE,計算用1!E613,計算用2!E613)</f>
        <v>0</v>
      </c>
      <c r="F614" s="114" t="s">
        <v>7</v>
      </c>
      <c r="G614" s="115"/>
      <c r="H614" s="115"/>
      <c r="I614" s="70">
        <f>L612*5*L613</f>
        <v>100</v>
      </c>
      <c r="J614" s="3"/>
      <c r="K614" s="73" t="s">
        <v>628</v>
      </c>
      <c r="L614" s="72">
        <v>30</v>
      </c>
      <c r="M614" s="3" t="s">
        <v>468</v>
      </c>
    </row>
    <row r="615" spans="1:13" x14ac:dyDescent="0.45">
      <c r="A615" s="116" t="s">
        <v>6</v>
      </c>
      <c r="B615" s="115"/>
      <c r="C615" s="115"/>
      <c r="D615" s="115"/>
      <c r="E615" s="67">
        <f>IF(真実の家賃!$L$1=TRUE,計算用1!E614,計算用2!E614)</f>
        <v>238.79999999999998</v>
      </c>
      <c r="F615" s="111" t="s">
        <v>579</v>
      </c>
      <c r="G615" s="112"/>
      <c r="H615" s="112"/>
      <c r="I615" s="71">
        <f t="shared" ref="I615" si="278">I614</f>
        <v>100</v>
      </c>
      <c r="J615" s="3"/>
      <c r="K615" s="3"/>
      <c r="L615" s="3"/>
      <c r="M615" s="3"/>
    </row>
    <row r="616" spans="1:13" x14ac:dyDescent="0.45">
      <c r="A616" s="113" t="s">
        <v>579</v>
      </c>
      <c r="B616" s="112"/>
      <c r="C616" s="112"/>
      <c r="D616" s="112"/>
      <c r="E616" s="68">
        <f t="shared" ref="E616" si="279">SUM(E614:E615)</f>
        <v>238.79999999999998</v>
      </c>
      <c r="F616" s="114" t="s">
        <v>583</v>
      </c>
      <c r="G616" s="115"/>
      <c r="H616" s="115"/>
      <c r="I616" s="70">
        <f>L614*12*L612</f>
        <v>3600</v>
      </c>
      <c r="J616" s="3"/>
      <c r="K616" s="3"/>
      <c r="L616" s="3"/>
      <c r="M616" s="3"/>
    </row>
    <row r="617" spans="1:13" x14ac:dyDescent="0.45">
      <c r="A617" s="116" t="s">
        <v>580</v>
      </c>
      <c r="B617" s="115"/>
      <c r="C617" s="115"/>
      <c r="D617" s="115"/>
      <c r="E617" s="67">
        <f>IF(真実の家賃!$L$1=TRUE,計算用1!E616,計算用2!E616)</f>
        <v>3815.0639999999999</v>
      </c>
      <c r="F617" s="114" t="s">
        <v>596</v>
      </c>
      <c r="G617" s="115"/>
      <c r="H617" s="115"/>
      <c r="I617" s="70">
        <f>_xlfn.SWITCH(L614,1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150</v>
      </c>
      <c r="J617" s="3"/>
      <c r="K617" s="3"/>
      <c r="L617" s="3"/>
      <c r="M617" s="3"/>
    </row>
    <row r="618" spans="1:13" x14ac:dyDescent="0.45">
      <c r="A618" s="105" t="s">
        <v>581</v>
      </c>
      <c r="B618" s="106"/>
      <c r="C618" s="106"/>
      <c r="D618" s="106"/>
      <c r="E618" s="67">
        <f>IF(真実の家賃!$L$1=TRUE,計算用1!E617,計算用2!E617)</f>
        <v>450</v>
      </c>
      <c r="F618" s="111" t="s">
        <v>582</v>
      </c>
      <c r="G618" s="112"/>
      <c r="H618" s="112"/>
      <c r="I618" s="71">
        <f t="shared" ref="I618" si="280">SUM(I616:I617)</f>
        <v>3750</v>
      </c>
      <c r="J618" s="3"/>
      <c r="K618" s="3"/>
      <c r="L618" s="3"/>
      <c r="M618" s="3"/>
    </row>
    <row r="619" spans="1:13" x14ac:dyDescent="0.45">
      <c r="A619" s="116" t="s">
        <v>9</v>
      </c>
      <c r="B619" s="115"/>
      <c r="C619" s="115"/>
      <c r="D619" s="115"/>
      <c r="E619" s="67">
        <f>IF(真実の家賃!$L$1=TRUE,計算用1!E618,計算用2!E618)</f>
        <v>-295.74127519999996</v>
      </c>
      <c r="F619" s="110" t="s">
        <v>585</v>
      </c>
      <c r="G619" s="106"/>
      <c r="H619" s="106"/>
      <c r="I619" s="70">
        <f>15*L613</f>
        <v>30</v>
      </c>
      <c r="J619" s="3"/>
      <c r="K619" s="3"/>
      <c r="L619" s="3"/>
      <c r="M619" s="3"/>
    </row>
    <row r="620" spans="1:13" x14ac:dyDescent="0.45">
      <c r="A620" s="105" t="s">
        <v>10</v>
      </c>
      <c r="B620" s="106"/>
      <c r="C620" s="106"/>
      <c r="D620" s="106"/>
      <c r="E620" s="67">
        <f>IF(真実の家賃!$L$1=TRUE,計算用1!E619,計算用2!E619)</f>
        <v>0</v>
      </c>
      <c r="F620" s="109" t="s">
        <v>586</v>
      </c>
      <c r="G620" s="108"/>
      <c r="H620" s="108"/>
      <c r="I620" s="71">
        <f t="shared" ref="I620" si="281">I619</f>
        <v>30</v>
      </c>
      <c r="J620" s="3"/>
      <c r="K620" s="3"/>
      <c r="L620" s="3"/>
      <c r="M620" s="3"/>
    </row>
    <row r="621" spans="1:13" ht="18.600000000000001" thickBot="1" x14ac:dyDescent="0.5">
      <c r="A621" s="113" t="s">
        <v>582</v>
      </c>
      <c r="B621" s="112"/>
      <c r="C621" s="112"/>
      <c r="D621" s="112"/>
      <c r="E621" s="68">
        <f t="shared" ref="E621" si="282">E617+E618+E619+E620</f>
        <v>3969.3227248000003</v>
      </c>
      <c r="F621" s="103" t="s">
        <v>587</v>
      </c>
      <c r="G621" s="104"/>
      <c r="H621" s="104"/>
      <c r="I621" s="66">
        <f t="shared" ref="I621" si="283">I615+I618+I620</f>
        <v>3880</v>
      </c>
      <c r="J621" s="3"/>
      <c r="K621" s="3"/>
      <c r="L621" s="3"/>
      <c r="M621" s="3"/>
    </row>
    <row r="622" spans="1:13" x14ac:dyDescent="0.45">
      <c r="A622" s="105" t="s">
        <v>12</v>
      </c>
      <c r="B622" s="106"/>
      <c r="C622" s="106"/>
      <c r="D622" s="106"/>
      <c r="E622" s="67">
        <f>IF(真実の家賃!$L$1=TRUE,計算用1!E621,計算用2!E621)</f>
        <v>625.48109999999997</v>
      </c>
      <c r="F622" s="3"/>
      <c r="G622" s="3"/>
      <c r="H622" s="3"/>
      <c r="I622" s="3"/>
      <c r="J622" s="3"/>
      <c r="K622" s="3"/>
      <c r="L622" s="3"/>
      <c r="M622" s="3"/>
    </row>
    <row r="623" spans="1:13" x14ac:dyDescent="0.45">
      <c r="A623" s="105" t="s">
        <v>584</v>
      </c>
      <c r="B623" s="106"/>
      <c r="C623" s="106"/>
      <c r="D623" s="106"/>
      <c r="E623" s="67">
        <f>IF(真実の家賃!$L$1=TRUE,計算用1!E622,計算用2!E622)</f>
        <v>125.37</v>
      </c>
      <c r="F623" s="3"/>
      <c r="G623" s="3"/>
      <c r="H623" s="3"/>
      <c r="I623" s="3"/>
      <c r="J623" s="3"/>
      <c r="K623" s="3"/>
      <c r="L623" s="3"/>
      <c r="M623" s="3"/>
    </row>
    <row r="624" spans="1:13" x14ac:dyDescent="0.45">
      <c r="A624" s="105" t="s">
        <v>585</v>
      </c>
      <c r="B624" s="106"/>
      <c r="C624" s="106"/>
      <c r="D624" s="106"/>
      <c r="E624" s="67">
        <f>$T$8</f>
        <v>15</v>
      </c>
      <c r="F624" s="3"/>
      <c r="G624" s="3"/>
      <c r="H624" s="3"/>
      <c r="I624" s="3"/>
      <c r="J624" s="3"/>
      <c r="K624" s="3"/>
      <c r="L624" s="3"/>
      <c r="M624" s="3"/>
    </row>
    <row r="625" spans="1:13" x14ac:dyDescent="0.45">
      <c r="A625" s="107" t="s">
        <v>586</v>
      </c>
      <c r="B625" s="108"/>
      <c r="C625" s="108"/>
      <c r="D625" s="108"/>
      <c r="E625" s="68">
        <f t="shared" ref="E625" si="284">SUM(E622:E624)</f>
        <v>765.85109999999997</v>
      </c>
      <c r="F625" s="3"/>
      <c r="G625" s="3"/>
      <c r="H625" s="3"/>
      <c r="I625" s="3"/>
      <c r="J625" s="3"/>
      <c r="K625" s="3"/>
      <c r="L625" s="3"/>
      <c r="M625" s="3"/>
    </row>
    <row r="626" spans="1:13" ht="18.600000000000001" thickBot="1" x14ac:dyDescent="0.5">
      <c r="A626" s="101" t="s">
        <v>587</v>
      </c>
      <c r="B626" s="102"/>
      <c r="C626" s="102"/>
      <c r="D626" s="102"/>
      <c r="E626" s="69">
        <f t="shared" ref="E626" si="285">E616+E621+E625</f>
        <v>4973.9738248000003</v>
      </c>
      <c r="F626" s="3"/>
      <c r="G626" s="3"/>
      <c r="H626" s="3"/>
      <c r="I626" s="3"/>
      <c r="J626" s="3"/>
      <c r="K626" s="3"/>
      <c r="L626" s="3"/>
      <c r="M626" s="3"/>
    </row>
    <row r="627" spans="1:13" x14ac:dyDescent="0.4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x14ac:dyDescent="0.4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x14ac:dyDescent="0.4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x14ac:dyDescent="0.4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x14ac:dyDescent="0.4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8.600000000000001" thickBot="1" x14ac:dyDescent="0.5">
      <c r="A632" s="10" t="s">
        <v>588</v>
      </c>
      <c r="B632" s="61"/>
      <c r="C632" s="61"/>
      <c r="D632" s="61"/>
      <c r="E632" s="61"/>
      <c r="F632" s="61"/>
      <c r="G632" s="61"/>
      <c r="H632" s="100" t="s">
        <v>1</v>
      </c>
      <c r="I632" s="100"/>
      <c r="J632" s="3"/>
      <c r="K632" s="3"/>
      <c r="L632" s="3"/>
      <c r="M632" s="3"/>
    </row>
    <row r="633" spans="1:13" x14ac:dyDescent="0.45">
      <c r="A633" s="117" t="s">
        <v>576</v>
      </c>
      <c r="B633" s="118"/>
      <c r="C633" s="118"/>
      <c r="D633" s="118"/>
      <c r="E633" s="119"/>
      <c r="F633" s="120" t="s">
        <v>577</v>
      </c>
      <c r="G633" s="121"/>
      <c r="H633" s="121"/>
      <c r="I633" s="122"/>
      <c r="J633" s="3"/>
      <c r="K633" s="44" t="s">
        <v>590</v>
      </c>
      <c r="L633" s="39">
        <f>損益分岐点!$M$2</f>
        <v>10</v>
      </c>
      <c r="M633" s="3" t="s">
        <v>465</v>
      </c>
    </row>
    <row r="634" spans="1:13" x14ac:dyDescent="0.45">
      <c r="A634" s="123" t="s">
        <v>578</v>
      </c>
      <c r="B634" s="124"/>
      <c r="C634" s="124"/>
      <c r="D634" s="124"/>
      <c r="E634" s="65" t="s">
        <v>0</v>
      </c>
      <c r="F634" s="125" t="s">
        <v>578</v>
      </c>
      <c r="G634" s="124"/>
      <c r="H634" s="124"/>
      <c r="I634" s="65" t="s">
        <v>0</v>
      </c>
      <c r="J634" s="3"/>
      <c r="K634" s="58" t="s">
        <v>589</v>
      </c>
      <c r="L634" s="74">
        <f>$T$5</f>
        <v>3</v>
      </c>
      <c r="M634" s="3" t="s">
        <v>594</v>
      </c>
    </row>
    <row r="635" spans="1:13" ht="18.600000000000001" thickBot="1" x14ac:dyDescent="0.5">
      <c r="A635" s="116" t="s">
        <v>3</v>
      </c>
      <c r="B635" s="115"/>
      <c r="C635" s="115"/>
      <c r="D635" s="115"/>
      <c r="E635" s="67">
        <f>IF(真実の家賃!$L$1=TRUE,計算用1!E634,計算用2!E634)</f>
        <v>0</v>
      </c>
      <c r="F635" s="114" t="s">
        <v>7</v>
      </c>
      <c r="G635" s="115"/>
      <c r="H635" s="115"/>
      <c r="I635" s="70">
        <f t="shared" ref="I635" si="286">L633*5*L634</f>
        <v>150</v>
      </c>
      <c r="J635" s="3"/>
      <c r="K635" s="73" t="s">
        <v>628</v>
      </c>
      <c r="L635" s="72">
        <v>31</v>
      </c>
      <c r="M635" s="3" t="s">
        <v>468</v>
      </c>
    </row>
    <row r="636" spans="1:13" x14ac:dyDescent="0.45">
      <c r="A636" s="116" t="s">
        <v>6</v>
      </c>
      <c r="B636" s="115"/>
      <c r="C636" s="115"/>
      <c r="D636" s="115"/>
      <c r="E636" s="67">
        <f>IF(真実の家賃!$L$1=TRUE,計算用1!E635,計算用2!E635)</f>
        <v>238.79999999999998</v>
      </c>
      <c r="F636" s="111" t="s">
        <v>579</v>
      </c>
      <c r="G636" s="112"/>
      <c r="H636" s="112"/>
      <c r="I636" s="71">
        <f t="shared" ref="I636" si="287">I635</f>
        <v>150</v>
      </c>
      <c r="J636" s="3"/>
      <c r="K636" s="3"/>
      <c r="L636" s="3"/>
      <c r="M636" s="3"/>
    </row>
    <row r="637" spans="1:13" x14ac:dyDescent="0.45">
      <c r="A637" s="113" t="s">
        <v>579</v>
      </c>
      <c r="B637" s="112"/>
      <c r="C637" s="112"/>
      <c r="D637" s="112"/>
      <c r="E637" s="68">
        <f t="shared" ref="E637" si="288">SUM(E635:E636)</f>
        <v>238.79999999999998</v>
      </c>
      <c r="F637" s="114" t="s">
        <v>583</v>
      </c>
      <c r="G637" s="115"/>
      <c r="H637" s="115"/>
      <c r="I637" s="70">
        <f>L635*12*L633</f>
        <v>3720</v>
      </c>
      <c r="J637" s="3"/>
      <c r="K637" s="3"/>
      <c r="L637" s="3"/>
      <c r="M637" s="3"/>
    </row>
    <row r="638" spans="1:13" x14ac:dyDescent="0.45">
      <c r="A638" s="116" t="s">
        <v>580</v>
      </c>
      <c r="B638" s="115"/>
      <c r="C638" s="115"/>
      <c r="D638" s="115"/>
      <c r="E638" s="67">
        <f>IF(真実の家賃!$L$1=TRUE,計算用1!E637,計算用2!E637)</f>
        <v>3942.2328000000002</v>
      </c>
      <c r="F638" s="114" t="s">
        <v>596</v>
      </c>
      <c r="G638" s="115"/>
      <c r="H638" s="115"/>
      <c r="I638" s="70">
        <f>_xlfn.SWITCH(L635,1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150</v>
      </c>
      <c r="J638" s="3"/>
      <c r="K638" s="3"/>
      <c r="L638" s="3"/>
      <c r="M638" s="3"/>
    </row>
    <row r="639" spans="1:13" x14ac:dyDescent="0.45">
      <c r="A639" s="105" t="s">
        <v>581</v>
      </c>
      <c r="B639" s="106"/>
      <c r="C639" s="106"/>
      <c r="D639" s="106"/>
      <c r="E639" s="67">
        <f>IF(真実の家賃!$L$1=TRUE,計算用1!E638,計算用2!E638)</f>
        <v>465</v>
      </c>
      <c r="F639" s="111" t="s">
        <v>582</v>
      </c>
      <c r="G639" s="112"/>
      <c r="H639" s="112"/>
      <c r="I639" s="71">
        <f t="shared" ref="I639" si="289">SUM(I637:I638)</f>
        <v>3870</v>
      </c>
      <c r="J639" s="3"/>
      <c r="K639" s="3"/>
      <c r="L639" s="3"/>
      <c r="M639" s="3"/>
    </row>
    <row r="640" spans="1:13" x14ac:dyDescent="0.45">
      <c r="A640" s="116" t="s">
        <v>9</v>
      </c>
      <c r="B640" s="115"/>
      <c r="C640" s="115"/>
      <c r="D640" s="115"/>
      <c r="E640" s="67">
        <f>IF(真実の家賃!$L$1=TRUE,計算用1!E639,計算用2!E639)</f>
        <v>-295.74127519999996</v>
      </c>
      <c r="F640" s="110" t="s">
        <v>585</v>
      </c>
      <c r="G640" s="106"/>
      <c r="H640" s="106"/>
      <c r="I640" s="70">
        <f>15*L634</f>
        <v>45</v>
      </c>
      <c r="J640" s="3"/>
      <c r="K640" s="3"/>
      <c r="L640" s="3"/>
      <c r="M640" s="3"/>
    </row>
    <row r="641" spans="1:13" x14ac:dyDescent="0.45">
      <c r="A641" s="105" t="s">
        <v>10</v>
      </c>
      <c r="B641" s="106"/>
      <c r="C641" s="106"/>
      <c r="D641" s="106"/>
      <c r="E641" s="67">
        <f>IF(真実の家賃!$L$1=TRUE,計算用1!E640,計算用2!E640)</f>
        <v>0</v>
      </c>
      <c r="F641" s="109" t="s">
        <v>586</v>
      </c>
      <c r="G641" s="108"/>
      <c r="H641" s="108"/>
      <c r="I641" s="71">
        <f t="shared" ref="I641" si="290">I640</f>
        <v>45</v>
      </c>
      <c r="J641" s="3"/>
      <c r="K641" s="3"/>
      <c r="L641" s="3"/>
      <c r="M641" s="3"/>
    </row>
    <row r="642" spans="1:13" ht="18.600000000000001" thickBot="1" x14ac:dyDescent="0.5">
      <c r="A642" s="113" t="s">
        <v>582</v>
      </c>
      <c r="B642" s="112"/>
      <c r="C642" s="112"/>
      <c r="D642" s="112"/>
      <c r="E642" s="68">
        <f t="shared" ref="E642" si="291">E638+E639+E640+E641</f>
        <v>4111.4915247999998</v>
      </c>
      <c r="F642" s="103" t="s">
        <v>587</v>
      </c>
      <c r="G642" s="104"/>
      <c r="H642" s="104"/>
      <c r="I642" s="66">
        <f t="shared" ref="I642" si="292">I636+I639+I641</f>
        <v>4065</v>
      </c>
      <c r="J642" s="3"/>
      <c r="K642" s="3"/>
      <c r="L642" s="3"/>
      <c r="M642" s="3"/>
    </row>
    <row r="643" spans="1:13" x14ac:dyDescent="0.45">
      <c r="A643" s="105" t="s">
        <v>12</v>
      </c>
      <c r="B643" s="106"/>
      <c r="C643" s="106"/>
      <c r="D643" s="106"/>
      <c r="E643" s="67">
        <f>IF(真実の家賃!$L$1=TRUE,計算用1!E642,計算用2!E642)</f>
        <v>502.00990000000002</v>
      </c>
      <c r="F643" s="3"/>
      <c r="G643" s="3"/>
      <c r="H643" s="3"/>
      <c r="I643" s="3"/>
      <c r="J643" s="3"/>
      <c r="K643" s="3"/>
      <c r="L643" s="3"/>
      <c r="M643" s="3"/>
    </row>
    <row r="644" spans="1:13" x14ac:dyDescent="0.45">
      <c r="A644" s="105" t="s">
        <v>584</v>
      </c>
      <c r="B644" s="106"/>
      <c r="C644" s="106"/>
      <c r="D644" s="106"/>
      <c r="E644" s="67">
        <f>IF(真実の家賃!$L$1=TRUE,計算用1!E643,計算用2!E643)</f>
        <v>125.37</v>
      </c>
      <c r="F644" s="3"/>
      <c r="G644" s="3"/>
      <c r="H644" s="3"/>
      <c r="I644" s="3"/>
      <c r="J644" s="3"/>
      <c r="K644" s="3"/>
      <c r="L644" s="3"/>
      <c r="M644" s="3"/>
    </row>
    <row r="645" spans="1:13" x14ac:dyDescent="0.45">
      <c r="A645" s="105" t="s">
        <v>585</v>
      </c>
      <c r="B645" s="106"/>
      <c r="C645" s="106"/>
      <c r="D645" s="106"/>
      <c r="E645" s="67">
        <f>$T$8</f>
        <v>15</v>
      </c>
      <c r="F645" s="3"/>
      <c r="G645" s="3"/>
      <c r="H645" s="3"/>
      <c r="I645" s="3"/>
      <c r="J645" s="3"/>
      <c r="K645" s="3"/>
      <c r="L645" s="3"/>
      <c r="M645" s="3"/>
    </row>
    <row r="646" spans="1:13" x14ac:dyDescent="0.45">
      <c r="A646" s="107" t="s">
        <v>586</v>
      </c>
      <c r="B646" s="108"/>
      <c r="C646" s="108"/>
      <c r="D646" s="108"/>
      <c r="E646" s="68">
        <f t="shared" ref="E646" si="293">SUM(E643:E645)</f>
        <v>642.37990000000002</v>
      </c>
      <c r="F646" s="3"/>
      <c r="G646" s="3"/>
      <c r="H646" s="3"/>
      <c r="I646" s="3"/>
      <c r="J646" s="3"/>
      <c r="K646" s="3"/>
      <c r="L646" s="3"/>
      <c r="M646" s="3"/>
    </row>
    <row r="647" spans="1:13" ht="18.600000000000001" thickBot="1" x14ac:dyDescent="0.5">
      <c r="A647" s="101" t="s">
        <v>587</v>
      </c>
      <c r="B647" s="102"/>
      <c r="C647" s="102"/>
      <c r="D647" s="102"/>
      <c r="E647" s="69">
        <f t="shared" ref="E647" si="294">E637+E642+E646</f>
        <v>4992.6714247999998</v>
      </c>
      <c r="F647" s="3"/>
      <c r="G647" s="3"/>
      <c r="H647" s="3"/>
      <c r="I647" s="3"/>
      <c r="J647" s="3"/>
      <c r="K647" s="3"/>
      <c r="L647" s="3"/>
      <c r="M647" s="3"/>
    </row>
    <row r="648" spans="1:13" x14ac:dyDescent="0.4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x14ac:dyDescent="0.4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x14ac:dyDescent="0.4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x14ac:dyDescent="0.4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x14ac:dyDescent="0.4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8.600000000000001" thickBot="1" x14ac:dyDescent="0.5">
      <c r="A653" s="10" t="s">
        <v>588</v>
      </c>
      <c r="B653" s="61"/>
      <c r="C653" s="61"/>
      <c r="D653" s="61"/>
      <c r="E653" s="61"/>
      <c r="F653" s="61"/>
      <c r="G653" s="61"/>
      <c r="H653" s="100" t="s">
        <v>1</v>
      </c>
      <c r="I653" s="100"/>
      <c r="J653" s="3"/>
      <c r="K653" s="3"/>
      <c r="L653" s="3"/>
      <c r="M653" s="3"/>
    </row>
    <row r="654" spans="1:13" x14ac:dyDescent="0.45">
      <c r="A654" s="117" t="s">
        <v>576</v>
      </c>
      <c r="B654" s="118"/>
      <c r="C654" s="118"/>
      <c r="D654" s="118"/>
      <c r="E654" s="119"/>
      <c r="F654" s="120" t="s">
        <v>577</v>
      </c>
      <c r="G654" s="121"/>
      <c r="H654" s="121"/>
      <c r="I654" s="122"/>
      <c r="J654" s="3"/>
      <c r="K654" s="44" t="s">
        <v>590</v>
      </c>
      <c r="L654" s="39">
        <f>損益分岐点!$M$2</f>
        <v>10</v>
      </c>
      <c r="M654" s="3" t="s">
        <v>465</v>
      </c>
    </row>
    <row r="655" spans="1:13" x14ac:dyDescent="0.45">
      <c r="A655" s="123" t="s">
        <v>578</v>
      </c>
      <c r="B655" s="124"/>
      <c r="C655" s="124"/>
      <c r="D655" s="124"/>
      <c r="E655" s="65" t="s">
        <v>0</v>
      </c>
      <c r="F655" s="125" t="s">
        <v>578</v>
      </c>
      <c r="G655" s="124"/>
      <c r="H655" s="124"/>
      <c r="I655" s="65" t="s">
        <v>0</v>
      </c>
      <c r="J655" s="3"/>
      <c r="K655" s="58" t="s">
        <v>589</v>
      </c>
      <c r="L655" s="74">
        <f>$T$5</f>
        <v>3</v>
      </c>
      <c r="M655" s="3" t="s">
        <v>594</v>
      </c>
    </row>
    <row r="656" spans="1:13" ht="18.600000000000001" thickBot="1" x14ac:dyDescent="0.5">
      <c r="A656" s="116" t="s">
        <v>3</v>
      </c>
      <c r="B656" s="115"/>
      <c r="C656" s="115"/>
      <c r="D656" s="115"/>
      <c r="E656" s="67">
        <f>IF(真実の家賃!$L$1=TRUE,計算用1!E655,計算用2!E655)</f>
        <v>0</v>
      </c>
      <c r="F656" s="114" t="s">
        <v>7</v>
      </c>
      <c r="G656" s="115"/>
      <c r="H656" s="115"/>
      <c r="I656" s="70">
        <f t="shared" ref="I656" si="295">L654*5*L655</f>
        <v>150</v>
      </c>
      <c r="J656" s="3"/>
      <c r="K656" s="73" t="s">
        <v>628</v>
      </c>
      <c r="L656" s="72">
        <v>32</v>
      </c>
      <c r="M656" s="3" t="s">
        <v>468</v>
      </c>
    </row>
    <row r="657" spans="1:13" x14ac:dyDescent="0.45">
      <c r="A657" s="116" t="s">
        <v>6</v>
      </c>
      <c r="B657" s="115"/>
      <c r="C657" s="115"/>
      <c r="D657" s="115"/>
      <c r="E657" s="67">
        <f>IF(真実の家賃!$L$1=TRUE,計算用1!E656,計算用2!E656)</f>
        <v>238.79999999999998</v>
      </c>
      <c r="F657" s="111" t="s">
        <v>579</v>
      </c>
      <c r="G657" s="112"/>
      <c r="H657" s="112"/>
      <c r="I657" s="71">
        <f t="shared" ref="I657" si="296">I656</f>
        <v>150</v>
      </c>
      <c r="J657" s="3"/>
      <c r="K657" s="3"/>
      <c r="L657" s="3"/>
      <c r="M657" s="3"/>
    </row>
    <row r="658" spans="1:13" x14ac:dyDescent="0.45">
      <c r="A658" s="113" t="s">
        <v>579</v>
      </c>
      <c r="B658" s="112"/>
      <c r="C658" s="112"/>
      <c r="D658" s="112"/>
      <c r="E658" s="68">
        <f t="shared" ref="E658" si="297">SUM(E656:E657)</f>
        <v>238.79999999999998</v>
      </c>
      <c r="F658" s="114" t="s">
        <v>583</v>
      </c>
      <c r="G658" s="115"/>
      <c r="H658" s="115"/>
      <c r="I658" s="70">
        <f t="shared" ref="I658" si="298">L656*12*L654</f>
        <v>3840</v>
      </c>
      <c r="J658" s="3"/>
      <c r="K658" s="3"/>
      <c r="L658" s="3"/>
      <c r="M658" s="3"/>
    </row>
    <row r="659" spans="1:13" x14ac:dyDescent="0.45">
      <c r="A659" s="116" t="s">
        <v>580</v>
      </c>
      <c r="B659" s="115"/>
      <c r="C659" s="115"/>
      <c r="D659" s="115"/>
      <c r="E659" s="67">
        <f>IF(真実の家賃!$L$1=TRUE,計算用1!E658,計算用2!E658)</f>
        <v>4069.4016000000001</v>
      </c>
      <c r="F659" s="114" t="s">
        <v>596</v>
      </c>
      <c r="G659" s="115"/>
      <c r="H659" s="115"/>
      <c r="I659" s="70">
        <f>_xlfn.SWITCH(L656,1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160</v>
      </c>
      <c r="J659" s="3"/>
      <c r="K659" s="3"/>
      <c r="L659" s="3"/>
      <c r="M659" s="3"/>
    </row>
    <row r="660" spans="1:13" x14ac:dyDescent="0.45">
      <c r="A660" s="105" t="s">
        <v>581</v>
      </c>
      <c r="B660" s="106"/>
      <c r="C660" s="106"/>
      <c r="D660" s="106"/>
      <c r="E660" s="67">
        <f>IF(真実の家賃!$L$1=TRUE,計算用1!E659,計算用2!E659)</f>
        <v>480</v>
      </c>
      <c r="F660" s="111" t="s">
        <v>582</v>
      </c>
      <c r="G660" s="112"/>
      <c r="H660" s="112"/>
      <c r="I660" s="71">
        <f t="shared" ref="I660" si="299">SUM(I658:I659)</f>
        <v>4000</v>
      </c>
      <c r="J660" s="3"/>
      <c r="K660" s="3"/>
      <c r="L660" s="3"/>
      <c r="M660" s="3"/>
    </row>
    <row r="661" spans="1:13" x14ac:dyDescent="0.45">
      <c r="A661" s="116" t="s">
        <v>9</v>
      </c>
      <c r="B661" s="115"/>
      <c r="C661" s="115"/>
      <c r="D661" s="115"/>
      <c r="E661" s="67">
        <f>IF(真実の家賃!$L$1=TRUE,計算用1!E660,計算用2!E660)</f>
        <v>-295.74127519999996</v>
      </c>
      <c r="F661" s="110" t="s">
        <v>585</v>
      </c>
      <c r="G661" s="106"/>
      <c r="H661" s="106"/>
      <c r="I661" s="70">
        <f t="shared" ref="I661" si="300">15*L655</f>
        <v>45</v>
      </c>
      <c r="J661" s="3"/>
      <c r="K661" s="3"/>
      <c r="L661" s="3"/>
      <c r="M661" s="3"/>
    </row>
    <row r="662" spans="1:13" x14ac:dyDescent="0.45">
      <c r="A662" s="105" t="s">
        <v>10</v>
      </c>
      <c r="B662" s="106"/>
      <c r="C662" s="106"/>
      <c r="D662" s="106"/>
      <c r="E662" s="67">
        <f>IF(真実の家賃!$L$1=TRUE,計算用1!E661,計算用2!E661)</f>
        <v>0</v>
      </c>
      <c r="F662" s="109" t="s">
        <v>586</v>
      </c>
      <c r="G662" s="108"/>
      <c r="H662" s="108"/>
      <c r="I662" s="71">
        <f t="shared" ref="I662" si="301">I661</f>
        <v>45</v>
      </c>
      <c r="J662" s="3"/>
      <c r="K662" s="3"/>
      <c r="L662" s="3"/>
      <c r="M662" s="3"/>
    </row>
    <row r="663" spans="1:13" ht="18.600000000000001" thickBot="1" x14ac:dyDescent="0.5">
      <c r="A663" s="113" t="s">
        <v>582</v>
      </c>
      <c r="B663" s="112"/>
      <c r="C663" s="112"/>
      <c r="D663" s="112"/>
      <c r="E663" s="68">
        <f t="shared" ref="E663" si="302">E659+E660+E661+E662</f>
        <v>4253.6603248000001</v>
      </c>
      <c r="F663" s="103" t="s">
        <v>587</v>
      </c>
      <c r="G663" s="104"/>
      <c r="H663" s="104"/>
      <c r="I663" s="66">
        <f t="shared" ref="I663" si="303">I657+I660+I662</f>
        <v>4195</v>
      </c>
      <c r="J663" s="3"/>
      <c r="K663" s="3"/>
      <c r="L663" s="3"/>
      <c r="M663" s="3"/>
    </row>
    <row r="664" spans="1:13" x14ac:dyDescent="0.45">
      <c r="A664" s="105" t="s">
        <v>12</v>
      </c>
      <c r="B664" s="106"/>
      <c r="C664" s="106"/>
      <c r="D664" s="106"/>
      <c r="E664" s="67">
        <f>IF(真実の家賃!$L$1=TRUE,計算用1!E663,計算用2!E663)</f>
        <v>377.73390000000001</v>
      </c>
      <c r="F664" s="3"/>
      <c r="G664" s="3"/>
      <c r="H664" s="3"/>
      <c r="I664" s="3"/>
      <c r="J664" s="3"/>
      <c r="K664" s="3"/>
      <c r="L664" s="3"/>
      <c r="M664" s="3"/>
    </row>
    <row r="665" spans="1:13" x14ac:dyDescent="0.45">
      <c r="A665" s="105" t="s">
        <v>584</v>
      </c>
      <c r="B665" s="106"/>
      <c r="C665" s="106"/>
      <c r="D665" s="106"/>
      <c r="E665" s="67">
        <f>IF(真実の家賃!$L$1=TRUE,計算用1!E664,計算用2!E664)</f>
        <v>125.37</v>
      </c>
      <c r="F665" s="3"/>
      <c r="G665" s="3"/>
      <c r="H665" s="3"/>
      <c r="I665" s="3"/>
      <c r="J665" s="3"/>
      <c r="K665" s="3"/>
      <c r="L665" s="3"/>
      <c r="M665" s="3"/>
    </row>
    <row r="666" spans="1:13" x14ac:dyDescent="0.45">
      <c r="A666" s="105" t="s">
        <v>585</v>
      </c>
      <c r="B666" s="106"/>
      <c r="C666" s="106"/>
      <c r="D666" s="106"/>
      <c r="E666" s="67">
        <f>$T$8</f>
        <v>15</v>
      </c>
      <c r="F666" s="3"/>
      <c r="G666" s="3"/>
      <c r="H666" s="3"/>
      <c r="I666" s="3"/>
      <c r="J666" s="3"/>
      <c r="K666" s="3"/>
      <c r="L666" s="3"/>
      <c r="M666" s="3"/>
    </row>
    <row r="667" spans="1:13" x14ac:dyDescent="0.45">
      <c r="A667" s="107" t="s">
        <v>586</v>
      </c>
      <c r="B667" s="108"/>
      <c r="C667" s="108"/>
      <c r="D667" s="108"/>
      <c r="E667" s="68">
        <f t="shared" ref="E667" si="304">SUM(E664:E666)</f>
        <v>518.10390000000007</v>
      </c>
      <c r="F667" s="3"/>
      <c r="G667" s="3"/>
      <c r="H667" s="3"/>
      <c r="I667" s="3"/>
      <c r="J667" s="3"/>
      <c r="K667" s="3"/>
      <c r="L667" s="3"/>
      <c r="M667" s="3"/>
    </row>
    <row r="668" spans="1:13" ht="18.600000000000001" thickBot="1" x14ac:dyDescent="0.5">
      <c r="A668" s="101" t="s">
        <v>587</v>
      </c>
      <c r="B668" s="102"/>
      <c r="C668" s="102"/>
      <c r="D668" s="102"/>
      <c r="E668" s="69">
        <f t="shared" ref="E668" si="305">E658+E663+E667</f>
        <v>5010.5642248000004</v>
      </c>
      <c r="F668" s="3"/>
      <c r="G668" s="3"/>
      <c r="H668" s="3"/>
      <c r="I668" s="3"/>
      <c r="J668" s="3"/>
      <c r="K668" s="3"/>
      <c r="L668" s="3"/>
      <c r="M668" s="3"/>
    </row>
    <row r="669" spans="1:13" x14ac:dyDescent="0.4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x14ac:dyDescent="0.4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x14ac:dyDescent="0.4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x14ac:dyDescent="0.4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x14ac:dyDescent="0.4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8.600000000000001" thickBot="1" x14ac:dyDescent="0.5">
      <c r="A674" s="10" t="s">
        <v>588</v>
      </c>
      <c r="B674" s="61"/>
      <c r="C674" s="61"/>
      <c r="D674" s="61"/>
      <c r="E674" s="61"/>
      <c r="F674" s="61"/>
      <c r="G674" s="61"/>
      <c r="H674" s="100" t="s">
        <v>1</v>
      </c>
      <c r="I674" s="100"/>
      <c r="J674" s="3"/>
      <c r="K674" s="3"/>
      <c r="L674" s="3"/>
      <c r="M674" s="3"/>
    </row>
    <row r="675" spans="1:13" x14ac:dyDescent="0.45">
      <c r="A675" s="117" t="s">
        <v>576</v>
      </c>
      <c r="B675" s="118"/>
      <c r="C675" s="118"/>
      <c r="D675" s="118"/>
      <c r="E675" s="119"/>
      <c r="F675" s="120" t="s">
        <v>577</v>
      </c>
      <c r="G675" s="121"/>
      <c r="H675" s="121"/>
      <c r="I675" s="122"/>
      <c r="J675" s="3"/>
      <c r="K675" s="44" t="s">
        <v>590</v>
      </c>
      <c r="L675" s="39">
        <f>損益分岐点!$M$2</f>
        <v>10</v>
      </c>
      <c r="M675" s="3" t="s">
        <v>465</v>
      </c>
    </row>
    <row r="676" spans="1:13" x14ac:dyDescent="0.45">
      <c r="A676" s="123" t="s">
        <v>578</v>
      </c>
      <c r="B676" s="124"/>
      <c r="C676" s="124"/>
      <c r="D676" s="124"/>
      <c r="E676" s="65" t="s">
        <v>0</v>
      </c>
      <c r="F676" s="125" t="s">
        <v>578</v>
      </c>
      <c r="G676" s="124"/>
      <c r="H676" s="124"/>
      <c r="I676" s="65" t="s">
        <v>0</v>
      </c>
      <c r="J676" s="3"/>
      <c r="K676" s="58" t="s">
        <v>589</v>
      </c>
      <c r="L676" s="74">
        <f>$T$5</f>
        <v>3</v>
      </c>
      <c r="M676" s="3" t="s">
        <v>594</v>
      </c>
    </row>
    <row r="677" spans="1:13" ht="18.600000000000001" thickBot="1" x14ac:dyDescent="0.5">
      <c r="A677" s="116" t="s">
        <v>3</v>
      </c>
      <c r="B677" s="115"/>
      <c r="C677" s="115"/>
      <c r="D677" s="115"/>
      <c r="E677" s="67">
        <f>IF(真実の家賃!$L$1=TRUE,計算用1!E676,計算用2!E676)</f>
        <v>0</v>
      </c>
      <c r="F677" s="114" t="s">
        <v>7</v>
      </c>
      <c r="G677" s="115"/>
      <c r="H677" s="115"/>
      <c r="I677" s="70">
        <f t="shared" ref="I677" si="306">L675*5*L676</f>
        <v>150</v>
      </c>
      <c r="J677" s="3"/>
      <c r="K677" s="73" t="s">
        <v>628</v>
      </c>
      <c r="L677" s="72">
        <v>33</v>
      </c>
      <c r="M677" s="3" t="s">
        <v>468</v>
      </c>
    </row>
    <row r="678" spans="1:13" x14ac:dyDescent="0.45">
      <c r="A678" s="116" t="s">
        <v>6</v>
      </c>
      <c r="B678" s="115"/>
      <c r="C678" s="115"/>
      <c r="D678" s="115"/>
      <c r="E678" s="67">
        <f>IF(真実の家賃!$L$1=TRUE,計算用1!E677,計算用2!E677)</f>
        <v>238.79999999999998</v>
      </c>
      <c r="F678" s="111" t="s">
        <v>579</v>
      </c>
      <c r="G678" s="112"/>
      <c r="H678" s="112"/>
      <c r="I678" s="71">
        <f t="shared" ref="I678" si="307">I677</f>
        <v>150</v>
      </c>
      <c r="J678" s="3"/>
      <c r="K678" s="3"/>
      <c r="L678" s="3"/>
      <c r="M678" s="3"/>
    </row>
    <row r="679" spans="1:13" x14ac:dyDescent="0.45">
      <c r="A679" s="113" t="s">
        <v>579</v>
      </c>
      <c r="B679" s="112"/>
      <c r="C679" s="112"/>
      <c r="D679" s="112"/>
      <c r="E679" s="68">
        <f t="shared" ref="E679" si="308">SUM(E677:E678)</f>
        <v>238.79999999999998</v>
      </c>
      <c r="F679" s="114" t="s">
        <v>583</v>
      </c>
      <c r="G679" s="115"/>
      <c r="H679" s="115"/>
      <c r="I679" s="70">
        <f t="shared" ref="I679" si="309">L677*12*L675</f>
        <v>3960</v>
      </c>
      <c r="J679" s="3"/>
      <c r="K679" s="3"/>
      <c r="L679" s="3"/>
      <c r="M679" s="3"/>
    </row>
    <row r="680" spans="1:13" x14ac:dyDescent="0.45">
      <c r="A680" s="116" t="s">
        <v>580</v>
      </c>
      <c r="B680" s="115"/>
      <c r="C680" s="115"/>
      <c r="D680" s="115"/>
      <c r="E680" s="67">
        <f>IF(真実の家賃!$L$1=TRUE,計算用1!E679,計算用2!E679)</f>
        <v>4196.5703999999996</v>
      </c>
      <c r="F680" s="114" t="s">
        <v>596</v>
      </c>
      <c r="G680" s="115"/>
      <c r="H680" s="115"/>
      <c r="I680" s="70">
        <f>_xlfn.SWITCH(L677,1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160</v>
      </c>
      <c r="J680" s="3"/>
      <c r="K680" s="3"/>
      <c r="L680" s="3"/>
      <c r="M680" s="3"/>
    </row>
    <row r="681" spans="1:13" x14ac:dyDescent="0.45">
      <c r="A681" s="105" t="s">
        <v>581</v>
      </c>
      <c r="B681" s="106"/>
      <c r="C681" s="106"/>
      <c r="D681" s="106"/>
      <c r="E681" s="67">
        <f>IF(真実の家賃!$L$1=TRUE,計算用1!E680,計算用2!E680)</f>
        <v>495</v>
      </c>
      <c r="F681" s="111" t="s">
        <v>582</v>
      </c>
      <c r="G681" s="112"/>
      <c r="H681" s="112"/>
      <c r="I681" s="71">
        <f t="shared" ref="I681" si="310">SUM(I679:I680)</f>
        <v>4120</v>
      </c>
      <c r="J681" s="3"/>
      <c r="K681" s="3"/>
      <c r="L681" s="3"/>
      <c r="M681" s="3"/>
    </row>
    <row r="682" spans="1:13" x14ac:dyDescent="0.45">
      <c r="A682" s="116" t="s">
        <v>9</v>
      </c>
      <c r="B682" s="115"/>
      <c r="C682" s="115"/>
      <c r="D682" s="115"/>
      <c r="E682" s="67">
        <f>IF(真実の家賃!$L$1=TRUE,計算用1!E681,計算用2!E681)</f>
        <v>-295.74127519999996</v>
      </c>
      <c r="F682" s="110" t="s">
        <v>585</v>
      </c>
      <c r="G682" s="106"/>
      <c r="H682" s="106"/>
      <c r="I682" s="70">
        <f t="shared" ref="I682" si="311">15*L676</f>
        <v>45</v>
      </c>
      <c r="J682" s="3"/>
      <c r="K682" s="3"/>
      <c r="L682" s="3"/>
      <c r="M682" s="3"/>
    </row>
    <row r="683" spans="1:13" x14ac:dyDescent="0.45">
      <c r="A683" s="105" t="s">
        <v>10</v>
      </c>
      <c r="B683" s="106"/>
      <c r="C683" s="106"/>
      <c r="D683" s="106"/>
      <c r="E683" s="67">
        <f>IF(真実の家賃!$L$1=TRUE,計算用1!E682,計算用2!E682)</f>
        <v>0</v>
      </c>
      <c r="F683" s="109" t="s">
        <v>586</v>
      </c>
      <c r="G683" s="108"/>
      <c r="H683" s="108"/>
      <c r="I683" s="71">
        <f t="shared" ref="I683" si="312">I682</f>
        <v>45</v>
      </c>
      <c r="J683" s="3"/>
      <c r="K683" s="3"/>
      <c r="L683" s="3"/>
      <c r="M683" s="3"/>
    </row>
    <row r="684" spans="1:13" ht="18.600000000000001" thickBot="1" x14ac:dyDescent="0.5">
      <c r="A684" s="113" t="s">
        <v>582</v>
      </c>
      <c r="B684" s="112"/>
      <c r="C684" s="112"/>
      <c r="D684" s="112"/>
      <c r="E684" s="68">
        <f t="shared" ref="E684" si="313">E680+E681+E682+E683</f>
        <v>4395.8291247999996</v>
      </c>
      <c r="F684" s="103" t="s">
        <v>587</v>
      </c>
      <c r="G684" s="104"/>
      <c r="H684" s="104"/>
      <c r="I684" s="66">
        <f t="shared" ref="I684" si="314">I678+I681+I683</f>
        <v>4315</v>
      </c>
      <c r="J684" s="3"/>
      <c r="K684" s="3"/>
      <c r="L684" s="3"/>
      <c r="M684" s="3"/>
    </row>
    <row r="685" spans="1:13" x14ac:dyDescent="0.45">
      <c r="A685" s="105" t="s">
        <v>12</v>
      </c>
      <c r="B685" s="106"/>
      <c r="C685" s="106"/>
      <c r="D685" s="106"/>
      <c r="E685" s="67">
        <f>IF(真実の家賃!$L$1=TRUE,計算用1!E684,計算用2!E684)</f>
        <v>252.64760000000001</v>
      </c>
      <c r="F685" s="3"/>
      <c r="G685" s="3"/>
      <c r="H685" s="3"/>
      <c r="I685" s="3"/>
      <c r="J685" s="3"/>
      <c r="K685" s="3"/>
      <c r="L685" s="3"/>
      <c r="M685" s="3"/>
    </row>
    <row r="686" spans="1:13" x14ac:dyDescent="0.45">
      <c r="A686" s="105" t="s">
        <v>584</v>
      </c>
      <c r="B686" s="106"/>
      <c r="C686" s="106"/>
      <c r="D686" s="106"/>
      <c r="E686" s="67">
        <f>IF(真実の家賃!$L$1=TRUE,計算用1!E685,計算用2!E685)</f>
        <v>125.37</v>
      </c>
      <c r="F686" s="3"/>
      <c r="G686" s="3"/>
      <c r="H686" s="3"/>
      <c r="I686" s="3"/>
      <c r="J686" s="3"/>
      <c r="K686" s="3"/>
      <c r="L686" s="3"/>
      <c r="M686" s="3"/>
    </row>
    <row r="687" spans="1:13" x14ac:dyDescent="0.45">
      <c r="A687" s="105" t="s">
        <v>585</v>
      </c>
      <c r="B687" s="106"/>
      <c r="C687" s="106"/>
      <c r="D687" s="106"/>
      <c r="E687" s="67">
        <f>$T$8</f>
        <v>15</v>
      </c>
      <c r="F687" s="3"/>
      <c r="G687" s="3"/>
      <c r="H687" s="3"/>
      <c r="I687" s="3"/>
      <c r="J687" s="3"/>
      <c r="K687" s="3"/>
      <c r="L687" s="3"/>
      <c r="M687" s="3"/>
    </row>
    <row r="688" spans="1:13" x14ac:dyDescent="0.45">
      <c r="A688" s="107" t="s">
        <v>586</v>
      </c>
      <c r="B688" s="108"/>
      <c r="C688" s="108"/>
      <c r="D688" s="108"/>
      <c r="E688" s="68">
        <f t="shared" ref="E688" si="315">SUM(E685:E687)</f>
        <v>393.01760000000002</v>
      </c>
      <c r="F688" s="3"/>
      <c r="G688" s="3"/>
      <c r="H688" s="3"/>
      <c r="I688" s="3"/>
      <c r="J688" s="3"/>
      <c r="K688" s="3"/>
      <c r="L688" s="3"/>
      <c r="M688" s="3"/>
    </row>
    <row r="689" spans="1:13" ht="18.600000000000001" thickBot="1" x14ac:dyDescent="0.5">
      <c r="A689" s="101" t="s">
        <v>587</v>
      </c>
      <c r="B689" s="102"/>
      <c r="C689" s="102"/>
      <c r="D689" s="102"/>
      <c r="E689" s="69">
        <f t="shared" ref="E689" si="316">E679+E684+E688</f>
        <v>5027.6467247999999</v>
      </c>
      <c r="F689" s="3"/>
      <c r="G689" s="3"/>
      <c r="H689" s="3"/>
      <c r="I689" s="3"/>
      <c r="J689" s="3"/>
      <c r="K689" s="3"/>
      <c r="L689" s="3"/>
      <c r="M689" s="3"/>
    </row>
    <row r="690" spans="1:13" x14ac:dyDescent="0.4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x14ac:dyDescent="0.4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x14ac:dyDescent="0.4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x14ac:dyDescent="0.4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x14ac:dyDescent="0.4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8.600000000000001" thickBot="1" x14ac:dyDescent="0.5">
      <c r="A695" s="10" t="s">
        <v>588</v>
      </c>
      <c r="B695" s="61"/>
      <c r="C695" s="61"/>
      <c r="D695" s="61"/>
      <c r="E695" s="61"/>
      <c r="F695" s="61"/>
      <c r="G695" s="61"/>
      <c r="H695" s="100" t="s">
        <v>1</v>
      </c>
      <c r="I695" s="100"/>
      <c r="J695" s="3"/>
      <c r="K695" s="3"/>
      <c r="L695" s="3"/>
      <c r="M695" s="3"/>
    </row>
    <row r="696" spans="1:13" x14ac:dyDescent="0.45">
      <c r="A696" s="117" t="s">
        <v>576</v>
      </c>
      <c r="B696" s="118"/>
      <c r="C696" s="118"/>
      <c r="D696" s="118"/>
      <c r="E696" s="119"/>
      <c r="F696" s="120" t="s">
        <v>577</v>
      </c>
      <c r="G696" s="121"/>
      <c r="H696" s="121"/>
      <c r="I696" s="122"/>
      <c r="J696" s="3"/>
      <c r="K696" s="44" t="s">
        <v>590</v>
      </c>
      <c r="L696" s="39">
        <f>損益分岐点!$M$2</f>
        <v>10</v>
      </c>
      <c r="M696" s="3" t="s">
        <v>465</v>
      </c>
    </row>
    <row r="697" spans="1:13" x14ac:dyDescent="0.45">
      <c r="A697" s="123" t="s">
        <v>578</v>
      </c>
      <c r="B697" s="124"/>
      <c r="C697" s="124"/>
      <c r="D697" s="124"/>
      <c r="E697" s="65" t="s">
        <v>0</v>
      </c>
      <c r="F697" s="125" t="s">
        <v>578</v>
      </c>
      <c r="G697" s="124"/>
      <c r="H697" s="124"/>
      <c r="I697" s="65" t="s">
        <v>0</v>
      </c>
      <c r="J697" s="3"/>
      <c r="K697" s="58" t="s">
        <v>589</v>
      </c>
      <c r="L697" s="74">
        <f>$T$5</f>
        <v>3</v>
      </c>
      <c r="M697" s="3" t="s">
        <v>594</v>
      </c>
    </row>
    <row r="698" spans="1:13" ht="18.600000000000001" thickBot="1" x14ac:dyDescent="0.5">
      <c r="A698" s="116" t="s">
        <v>3</v>
      </c>
      <c r="B698" s="115"/>
      <c r="C698" s="115"/>
      <c r="D698" s="115"/>
      <c r="E698" s="67">
        <f>IF(真実の家賃!$L$1=TRUE,計算用1!E697,計算用2!E697)</f>
        <v>0</v>
      </c>
      <c r="F698" s="114" t="s">
        <v>7</v>
      </c>
      <c r="G698" s="115"/>
      <c r="H698" s="115"/>
      <c r="I698" s="70">
        <f t="shared" ref="I698" si="317">L696*5*L697</f>
        <v>150</v>
      </c>
      <c r="J698" s="3"/>
      <c r="K698" s="73" t="s">
        <v>628</v>
      </c>
      <c r="L698" s="72">
        <v>34</v>
      </c>
      <c r="M698" s="3" t="s">
        <v>468</v>
      </c>
    </row>
    <row r="699" spans="1:13" x14ac:dyDescent="0.45">
      <c r="A699" s="116" t="s">
        <v>6</v>
      </c>
      <c r="B699" s="115"/>
      <c r="C699" s="115"/>
      <c r="D699" s="115"/>
      <c r="E699" s="67">
        <f>IF(真実の家賃!$L$1=TRUE,計算用1!E698,計算用2!E698)</f>
        <v>238.79999999999998</v>
      </c>
      <c r="F699" s="111" t="s">
        <v>579</v>
      </c>
      <c r="G699" s="112"/>
      <c r="H699" s="112"/>
      <c r="I699" s="71">
        <f t="shared" ref="I699" si="318">I698</f>
        <v>150</v>
      </c>
      <c r="J699" s="3"/>
      <c r="K699" s="3"/>
      <c r="L699" s="3"/>
      <c r="M699" s="3"/>
    </row>
    <row r="700" spans="1:13" x14ac:dyDescent="0.45">
      <c r="A700" s="113" t="s">
        <v>579</v>
      </c>
      <c r="B700" s="112"/>
      <c r="C700" s="112"/>
      <c r="D700" s="112"/>
      <c r="E700" s="68">
        <f t="shared" ref="E700" si="319">SUM(E698:E699)</f>
        <v>238.79999999999998</v>
      </c>
      <c r="F700" s="114" t="s">
        <v>583</v>
      </c>
      <c r="G700" s="115"/>
      <c r="H700" s="115"/>
      <c r="I700" s="70">
        <f t="shared" ref="I700" si="320">L698*12*L696</f>
        <v>4080</v>
      </c>
      <c r="J700" s="3"/>
      <c r="K700" s="3"/>
      <c r="L700" s="3"/>
      <c r="M700" s="3"/>
    </row>
    <row r="701" spans="1:13" x14ac:dyDescent="0.45">
      <c r="A701" s="116" t="s">
        <v>580</v>
      </c>
      <c r="B701" s="115"/>
      <c r="C701" s="115"/>
      <c r="D701" s="115"/>
      <c r="E701" s="67">
        <f>IF(真実の家賃!$L$1=TRUE,計算用1!E700,計算用2!E700)</f>
        <v>4323.7392</v>
      </c>
      <c r="F701" s="114" t="s">
        <v>596</v>
      </c>
      <c r="G701" s="115"/>
      <c r="H701" s="115"/>
      <c r="I701" s="70">
        <f>_xlfn.SWITCH(L698,1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170</v>
      </c>
      <c r="J701" s="3"/>
      <c r="K701" s="3"/>
      <c r="L701" s="3"/>
      <c r="M701" s="3"/>
    </row>
    <row r="702" spans="1:13" x14ac:dyDescent="0.45">
      <c r="A702" s="105" t="s">
        <v>581</v>
      </c>
      <c r="B702" s="106"/>
      <c r="C702" s="106"/>
      <c r="D702" s="106"/>
      <c r="E702" s="67">
        <f>IF(真実の家賃!$L$1=TRUE,計算用1!E701,計算用2!E701)</f>
        <v>510</v>
      </c>
      <c r="F702" s="111" t="s">
        <v>582</v>
      </c>
      <c r="G702" s="112"/>
      <c r="H702" s="112"/>
      <c r="I702" s="71">
        <f t="shared" ref="I702" si="321">SUM(I700:I701)</f>
        <v>4250</v>
      </c>
      <c r="J702" s="3"/>
      <c r="K702" s="3"/>
      <c r="L702" s="3"/>
      <c r="M702" s="3"/>
    </row>
    <row r="703" spans="1:13" x14ac:dyDescent="0.45">
      <c r="A703" s="116" t="s">
        <v>9</v>
      </c>
      <c r="B703" s="115"/>
      <c r="C703" s="115"/>
      <c r="D703" s="115"/>
      <c r="E703" s="67">
        <f>IF(真実の家賃!$L$1=TRUE,計算用1!E702,計算用2!E702)</f>
        <v>-295.74127519999996</v>
      </c>
      <c r="F703" s="110" t="s">
        <v>585</v>
      </c>
      <c r="G703" s="106"/>
      <c r="H703" s="106"/>
      <c r="I703" s="70">
        <f t="shared" ref="I703" si="322">15*L697</f>
        <v>45</v>
      </c>
      <c r="J703" s="3"/>
      <c r="K703" s="3"/>
      <c r="L703" s="3"/>
      <c r="M703" s="3"/>
    </row>
    <row r="704" spans="1:13" x14ac:dyDescent="0.45">
      <c r="A704" s="105" t="s">
        <v>10</v>
      </c>
      <c r="B704" s="106"/>
      <c r="C704" s="106"/>
      <c r="D704" s="106"/>
      <c r="E704" s="67">
        <f>IF(真実の家賃!$L$1=TRUE,計算用1!E703,計算用2!E703)</f>
        <v>0</v>
      </c>
      <c r="F704" s="109" t="s">
        <v>586</v>
      </c>
      <c r="G704" s="108"/>
      <c r="H704" s="108"/>
      <c r="I704" s="71">
        <f t="shared" ref="I704" si="323">I703</f>
        <v>45</v>
      </c>
      <c r="J704" s="3"/>
      <c r="K704" s="3"/>
      <c r="L704" s="3"/>
      <c r="M704" s="3"/>
    </row>
    <row r="705" spans="1:13" ht="18.600000000000001" thickBot="1" x14ac:dyDescent="0.5">
      <c r="A705" s="113" t="s">
        <v>582</v>
      </c>
      <c r="B705" s="112"/>
      <c r="C705" s="112"/>
      <c r="D705" s="112"/>
      <c r="E705" s="68">
        <f t="shared" ref="E705" si="324">E701+E702+E703+E704</f>
        <v>4537.9979248</v>
      </c>
      <c r="F705" s="103" t="s">
        <v>587</v>
      </c>
      <c r="G705" s="104"/>
      <c r="H705" s="104"/>
      <c r="I705" s="66">
        <f t="shared" ref="I705" si="325">I699+I702+I704</f>
        <v>4445</v>
      </c>
      <c r="J705" s="3"/>
      <c r="K705" s="3"/>
      <c r="L705" s="3"/>
      <c r="M705" s="3"/>
    </row>
    <row r="706" spans="1:13" x14ac:dyDescent="0.45">
      <c r="A706" s="105" t="s">
        <v>12</v>
      </c>
      <c r="B706" s="106"/>
      <c r="C706" s="106"/>
      <c r="D706" s="106"/>
      <c r="E706" s="67">
        <f>IF(真実の家賃!$L$1=TRUE,計算用1!E705,計算用2!E705)</f>
        <v>126.7458</v>
      </c>
      <c r="F706" s="3"/>
      <c r="G706" s="3"/>
      <c r="H706" s="3"/>
      <c r="I706" s="3"/>
      <c r="J706" s="3"/>
      <c r="K706" s="3"/>
      <c r="L706" s="3"/>
      <c r="M706" s="3"/>
    </row>
    <row r="707" spans="1:13" x14ac:dyDescent="0.45">
      <c r="A707" s="105" t="s">
        <v>584</v>
      </c>
      <c r="B707" s="106"/>
      <c r="C707" s="106"/>
      <c r="D707" s="106"/>
      <c r="E707" s="67">
        <f>IF(真実の家賃!$L$1=TRUE,計算用1!E706,計算用2!E706)</f>
        <v>125.37</v>
      </c>
      <c r="F707" s="3"/>
      <c r="G707" s="3"/>
      <c r="H707" s="3"/>
      <c r="I707" s="3"/>
      <c r="J707" s="3"/>
      <c r="K707" s="3"/>
      <c r="L707" s="3"/>
      <c r="M707" s="3"/>
    </row>
    <row r="708" spans="1:13" x14ac:dyDescent="0.45">
      <c r="A708" s="105" t="s">
        <v>585</v>
      </c>
      <c r="B708" s="106"/>
      <c r="C708" s="106"/>
      <c r="D708" s="106"/>
      <c r="E708" s="67">
        <f>$T$8</f>
        <v>15</v>
      </c>
      <c r="F708" s="3"/>
      <c r="G708" s="3"/>
      <c r="H708" s="3"/>
      <c r="I708" s="3"/>
      <c r="J708" s="3"/>
      <c r="K708" s="3"/>
      <c r="L708" s="3"/>
      <c r="M708" s="3"/>
    </row>
    <row r="709" spans="1:13" x14ac:dyDescent="0.45">
      <c r="A709" s="107" t="s">
        <v>586</v>
      </c>
      <c r="B709" s="108"/>
      <c r="C709" s="108"/>
      <c r="D709" s="108"/>
      <c r="E709" s="68">
        <f t="shared" ref="E709" si="326">SUM(E706:E708)</f>
        <v>267.11580000000004</v>
      </c>
      <c r="F709" s="3"/>
      <c r="G709" s="3"/>
      <c r="H709" s="3"/>
      <c r="I709" s="3"/>
      <c r="J709" s="3"/>
      <c r="K709" s="3"/>
      <c r="L709" s="3"/>
      <c r="M709" s="3"/>
    </row>
    <row r="710" spans="1:13" ht="18.600000000000001" thickBot="1" x14ac:dyDescent="0.5">
      <c r="A710" s="101" t="s">
        <v>587</v>
      </c>
      <c r="B710" s="102"/>
      <c r="C710" s="102"/>
      <c r="D710" s="102"/>
      <c r="E710" s="69">
        <f t="shared" ref="E710" si="327">E700+E705+E709</f>
        <v>5043.9137248000006</v>
      </c>
      <c r="F710" s="3"/>
      <c r="G710" s="3"/>
      <c r="H710" s="3"/>
      <c r="I710" s="3"/>
      <c r="J710" s="3"/>
      <c r="K710" s="3"/>
      <c r="L710" s="3"/>
      <c r="M710" s="3"/>
    </row>
    <row r="711" spans="1:13" x14ac:dyDescent="0.4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x14ac:dyDescent="0.4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x14ac:dyDescent="0.4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x14ac:dyDescent="0.4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x14ac:dyDescent="0.4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8.600000000000001" thickBot="1" x14ac:dyDescent="0.5">
      <c r="A716" s="10" t="s">
        <v>588</v>
      </c>
      <c r="B716" s="61"/>
      <c r="C716" s="61"/>
      <c r="D716" s="61"/>
      <c r="E716" s="61"/>
      <c r="F716" s="61"/>
      <c r="G716" s="61"/>
      <c r="H716" s="100" t="s">
        <v>1</v>
      </c>
      <c r="I716" s="100"/>
      <c r="J716" s="3"/>
      <c r="K716" s="3"/>
      <c r="L716" s="3"/>
      <c r="M716" s="3"/>
    </row>
    <row r="717" spans="1:13" x14ac:dyDescent="0.45">
      <c r="A717" s="117" t="s">
        <v>576</v>
      </c>
      <c r="B717" s="118"/>
      <c r="C717" s="118"/>
      <c r="D717" s="118"/>
      <c r="E717" s="119"/>
      <c r="F717" s="120" t="s">
        <v>577</v>
      </c>
      <c r="G717" s="121"/>
      <c r="H717" s="121"/>
      <c r="I717" s="122"/>
      <c r="J717" s="3"/>
      <c r="K717" s="44" t="s">
        <v>590</v>
      </c>
      <c r="L717" s="39">
        <f>損益分岐点!$M$2</f>
        <v>10</v>
      </c>
      <c r="M717" s="3" t="s">
        <v>465</v>
      </c>
    </row>
    <row r="718" spans="1:13" x14ac:dyDescent="0.45">
      <c r="A718" s="123" t="s">
        <v>578</v>
      </c>
      <c r="B718" s="124"/>
      <c r="C718" s="124"/>
      <c r="D718" s="124"/>
      <c r="E718" s="65" t="s">
        <v>0</v>
      </c>
      <c r="F718" s="125" t="s">
        <v>578</v>
      </c>
      <c r="G718" s="124"/>
      <c r="H718" s="124"/>
      <c r="I718" s="65" t="s">
        <v>0</v>
      </c>
      <c r="J718" s="3"/>
      <c r="K718" s="58" t="s">
        <v>589</v>
      </c>
      <c r="L718" s="74">
        <f>$T$5</f>
        <v>3</v>
      </c>
      <c r="M718" s="3" t="s">
        <v>594</v>
      </c>
    </row>
    <row r="719" spans="1:13" ht="18.600000000000001" thickBot="1" x14ac:dyDescent="0.5">
      <c r="A719" s="116" t="s">
        <v>3</v>
      </c>
      <c r="B719" s="115"/>
      <c r="C719" s="115"/>
      <c r="D719" s="115"/>
      <c r="E719" s="67">
        <f>IF(真実の家賃!$L$1=TRUE,計算用1!E718,計算用2!E718)</f>
        <v>0</v>
      </c>
      <c r="F719" s="114" t="s">
        <v>7</v>
      </c>
      <c r="G719" s="115"/>
      <c r="H719" s="115"/>
      <c r="I719" s="70">
        <f t="shared" ref="I719" si="328">L717*5*L718</f>
        <v>150</v>
      </c>
      <c r="J719" s="3"/>
      <c r="K719" s="73" t="s">
        <v>628</v>
      </c>
      <c r="L719" s="72">
        <v>35</v>
      </c>
      <c r="M719" s="3" t="s">
        <v>468</v>
      </c>
    </row>
    <row r="720" spans="1:13" x14ac:dyDescent="0.45">
      <c r="A720" s="116" t="s">
        <v>6</v>
      </c>
      <c r="B720" s="115"/>
      <c r="C720" s="115"/>
      <c r="D720" s="115"/>
      <c r="E720" s="67">
        <f>IF(真実の家賃!$L$1=TRUE,計算用1!E719,計算用2!E719)</f>
        <v>238.79999999999998</v>
      </c>
      <c r="F720" s="111" t="s">
        <v>579</v>
      </c>
      <c r="G720" s="112"/>
      <c r="H720" s="112"/>
      <c r="I720" s="71">
        <f t="shared" ref="I720" si="329">I719</f>
        <v>150</v>
      </c>
      <c r="J720" s="3"/>
      <c r="K720" s="3"/>
      <c r="L720" s="3"/>
      <c r="M720" s="3"/>
    </row>
    <row r="721" spans="1:13" x14ac:dyDescent="0.45">
      <c r="A721" s="113" t="s">
        <v>579</v>
      </c>
      <c r="B721" s="112"/>
      <c r="C721" s="112"/>
      <c r="D721" s="112"/>
      <c r="E721" s="68">
        <f t="shared" ref="E721" si="330">SUM(E719:E720)</f>
        <v>238.79999999999998</v>
      </c>
      <c r="F721" s="114" t="s">
        <v>583</v>
      </c>
      <c r="G721" s="115"/>
      <c r="H721" s="115"/>
      <c r="I721" s="70">
        <f t="shared" ref="I721" si="331">L719*12*L717</f>
        <v>4200</v>
      </c>
      <c r="J721" s="3"/>
      <c r="K721" s="3"/>
      <c r="L721" s="3"/>
      <c r="M721" s="3"/>
    </row>
    <row r="722" spans="1:13" x14ac:dyDescent="0.45">
      <c r="A722" s="116" t="s">
        <v>580</v>
      </c>
      <c r="B722" s="115"/>
      <c r="C722" s="115"/>
      <c r="D722" s="115"/>
      <c r="E722" s="67">
        <f>IF(真実の家賃!$L$1=TRUE,計算用1!E721,計算用2!E721)</f>
        <v>4450.9080000000004</v>
      </c>
      <c r="F722" s="114" t="s">
        <v>596</v>
      </c>
      <c r="G722" s="115"/>
      <c r="H722" s="115"/>
      <c r="I722" s="70">
        <f>_xlfn.SWITCH(L719,1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170</v>
      </c>
      <c r="J722" s="3"/>
      <c r="K722" s="3"/>
      <c r="L722" s="3"/>
      <c r="M722" s="3"/>
    </row>
    <row r="723" spans="1:13" x14ac:dyDescent="0.45">
      <c r="A723" s="105" t="s">
        <v>581</v>
      </c>
      <c r="B723" s="106"/>
      <c r="C723" s="106"/>
      <c r="D723" s="106"/>
      <c r="E723" s="67">
        <f>IF(真実の家賃!$L$1=TRUE,計算用1!E722,計算用2!E722)</f>
        <v>525</v>
      </c>
      <c r="F723" s="111" t="s">
        <v>582</v>
      </c>
      <c r="G723" s="112"/>
      <c r="H723" s="112"/>
      <c r="I723" s="71">
        <f t="shared" ref="I723" si="332">SUM(I721:I722)</f>
        <v>4370</v>
      </c>
      <c r="J723" s="3"/>
      <c r="K723" s="3"/>
      <c r="L723" s="3"/>
      <c r="M723" s="3"/>
    </row>
    <row r="724" spans="1:13" x14ac:dyDescent="0.45">
      <c r="A724" s="116" t="s">
        <v>9</v>
      </c>
      <c r="B724" s="115"/>
      <c r="C724" s="115"/>
      <c r="D724" s="115"/>
      <c r="E724" s="67">
        <f>IF(真実の家賃!$L$1=TRUE,計算用1!E723,計算用2!E723)</f>
        <v>-295.74127519999996</v>
      </c>
      <c r="F724" s="110" t="s">
        <v>585</v>
      </c>
      <c r="G724" s="106"/>
      <c r="H724" s="106"/>
      <c r="I724" s="70">
        <f t="shared" ref="I724" si="333">15*L718</f>
        <v>45</v>
      </c>
      <c r="J724" s="3"/>
      <c r="K724" s="3"/>
      <c r="L724" s="3"/>
      <c r="M724" s="3"/>
    </row>
    <row r="725" spans="1:13" x14ac:dyDescent="0.45">
      <c r="A725" s="105" t="s">
        <v>10</v>
      </c>
      <c r="B725" s="106"/>
      <c r="C725" s="106"/>
      <c r="D725" s="106"/>
      <c r="E725" s="67">
        <f>IF(真実の家賃!$L$1=TRUE,計算用1!E724,計算用2!E724)</f>
        <v>0</v>
      </c>
      <c r="F725" s="109" t="s">
        <v>586</v>
      </c>
      <c r="G725" s="108"/>
      <c r="H725" s="108"/>
      <c r="I725" s="71">
        <f t="shared" ref="I725" si="334">I724</f>
        <v>45</v>
      </c>
      <c r="J725" s="3"/>
      <c r="K725" s="3"/>
      <c r="L725" s="3"/>
      <c r="M725" s="3"/>
    </row>
    <row r="726" spans="1:13" ht="18.600000000000001" thickBot="1" x14ac:dyDescent="0.5">
      <c r="A726" s="113" t="s">
        <v>582</v>
      </c>
      <c r="B726" s="112"/>
      <c r="C726" s="112"/>
      <c r="D726" s="112"/>
      <c r="E726" s="68">
        <f t="shared" ref="E726" si="335">E722+E723+E724+E725</f>
        <v>4680.1667248000003</v>
      </c>
      <c r="F726" s="103" t="s">
        <v>587</v>
      </c>
      <c r="G726" s="104"/>
      <c r="H726" s="104"/>
      <c r="I726" s="66">
        <f t="shared" ref="I726" si="336">I720+I723+I725</f>
        <v>4565</v>
      </c>
      <c r="J726" s="3"/>
      <c r="K726" s="3"/>
      <c r="L726" s="3"/>
      <c r="M726" s="3"/>
    </row>
    <row r="727" spans="1:13" x14ac:dyDescent="0.45">
      <c r="A727" s="105" t="s">
        <v>12</v>
      </c>
      <c r="B727" s="106"/>
      <c r="C727" s="106"/>
      <c r="D727" s="106"/>
      <c r="E727" s="67">
        <f>IF(真実の家賃!$L$1=TRUE,計算用1!E726,計算用2!E726)</f>
        <v>2.3199999999999998E-2</v>
      </c>
      <c r="F727" s="3"/>
      <c r="G727" s="3"/>
      <c r="H727" s="3"/>
      <c r="I727" s="3"/>
      <c r="J727" s="3"/>
      <c r="K727" s="3"/>
      <c r="L727" s="3"/>
      <c r="M727" s="3"/>
    </row>
    <row r="728" spans="1:13" x14ac:dyDescent="0.45">
      <c r="A728" s="105" t="s">
        <v>584</v>
      </c>
      <c r="B728" s="106"/>
      <c r="C728" s="106"/>
      <c r="D728" s="106"/>
      <c r="E728" s="67">
        <f>IF(真実の家賃!$L$1=TRUE,計算用1!E727,計算用2!E727)</f>
        <v>125.37</v>
      </c>
      <c r="F728" s="3"/>
      <c r="G728" s="3"/>
      <c r="H728" s="3"/>
      <c r="I728" s="3"/>
      <c r="J728" s="3"/>
      <c r="K728" s="3"/>
      <c r="L728" s="3"/>
      <c r="M728" s="3"/>
    </row>
    <row r="729" spans="1:13" x14ac:dyDescent="0.45">
      <c r="A729" s="105" t="s">
        <v>585</v>
      </c>
      <c r="B729" s="106"/>
      <c r="C729" s="106"/>
      <c r="D729" s="106"/>
      <c r="E729" s="67">
        <f>$T$8</f>
        <v>15</v>
      </c>
      <c r="F729" s="3"/>
      <c r="G729" s="3"/>
      <c r="H729" s="3"/>
      <c r="I729" s="3"/>
      <c r="J729" s="3"/>
      <c r="K729" s="3"/>
      <c r="L729" s="3"/>
      <c r="M729" s="3"/>
    </row>
    <row r="730" spans="1:13" x14ac:dyDescent="0.45">
      <c r="A730" s="107" t="s">
        <v>586</v>
      </c>
      <c r="B730" s="108"/>
      <c r="C730" s="108"/>
      <c r="D730" s="108"/>
      <c r="E730" s="68">
        <f t="shared" ref="E730" si="337">SUM(E727:E729)</f>
        <v>140.39320000000001</v>
      </c>
      <c r="F730" s="3"/>
      <c r="G730" s="3"/>
      <c r="H730" s="3"/>
      <c r="I730" s="3"/>
      <c r="J730" s="3"/>
      <c r="K730" s="3"/>
      <c r="L730" s="3"/>
      <c r="M730" s="3"/>
    </row>
    <row r="731" spans="1:13" ht="18.600000000000001" thickBot="1" x14ac:dyDescent="0.5">
      <c r="A731" s="101" t="s">
        <v>587</v>
      </c>
      <c r="B731" s="102"/>
      <c r="C731" s="102"/>
      <c r="D731" s="102"/>
      <c r="E731" s="69">
        <f t="shared" ref="E731" si="338">E721+E726+E730</f>
        <v>5059.359924800001</v>
      </c>
      <c r="F731" s="3"/>
      <c r="G731" s="3"/>
      <c r="H731" s="3"/>
      <c r="I731" s="3"/>
      <c r="J731" s="3"/>
      <c r="K731" s="3"/>
      <c r="L731" s="3"/>
      <c r="M731" s="3"/>
    </row>
    <row r="732" spans="1:13" x14ac:dyDescent="0.4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x14ac:dyDescent="0.4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x14ac:dyDescent="0.4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x14ac:dyDescent="0.4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x14ac:dyDescent="0.4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8.600000000000001" thickBot="1" x14ac:dyDescent="0.5">
      <c r="A737" s="10" t="s">
        <v>588</v>
      </c>
      <c r="B737" s="61"/>
      <c r="C737" s="61"/>
      <c r="D737" s="61"/>
      <c r="E737" s="61"/>
      <c r="F737" s="61"/>
      <c r="G737" s="61"/>
      <c r="H737" s="100" t="s">
        <v>1</v>
      </c>
      <c r="I737" s="100"/>
      <c r="J737" s="3"/>
      <c r="K737" s="3"/>
      <c r="L737" s="3"/>
      <c r="M737" s="3"/>
    </row>
    <row r="738" spans="1:13" x14ac:dyDescent="0.45">
      <c r="A738" s="117" t="s">
        <v>576</v>
      </c>
      <c r="B738" s="118"/>
      <c r="C738" s="118"/>
      <c r="D738" s="118"/>
      <c r="E738" s="119"/>
      <c r="F738" s="120" t="s">
        <v>577</v>
      </c>
      <c r="G738" s="121"/>
      <c r="H738" s="121"/>
      <c r="I738" s="122"/>
      <c r="J738" s="3"/>
      <c r="K738" s="44" t="s">
        <v>590</v>
      </c>
      <c r="L738" s="39">
        <f>損益分岐点!$M$2</f>
        <v>10</v>
      </c>
      <c r="M738" s="3" t="s">
        <v>465</v>
      </c>
    </row>
    <row r="739" spans="1:13" x14ac:dyDescent="0.45">
      <c r="A739" s="123" t="s">
        <v>578</v>
      </c>
      <c r="B739" s="124"/>
      <c r="C739" s="124"/>
      <c r="D739" s="124"/>
      <c r="E739" s="65" t="s">
        <v>0</v>
      </c>
      <c r="F739" s="125" t="s">
        <v>578</v>
      </c>
      <c r="G739" s="124"/>
      <c r="H739" s="124"/>
      <c r="I739" s="65" t="s">
        <v>0</v>
      </c>
      <c r="J739" s="3"/>
      <c r="K739" s="58" t="s">
        <v>589</v>
      </c>
      <c r="L739" s="74">
        <f>$T$5</f>
        <v>3</v>
      </c>
      <c r="M739" s="3" t="s">
        <v>594</v>
      </c>
    </row>
    <row r="740" spans="1:13" ht="18.600000000000001" thickBot="1" x14ac:dyDescent="0.5">
      <c r="A740" s="116" t="s">
        <v>3</v>
      </c>
      <c r="B740" s="115"/>
      <c r="C740" s="115"/>
      <c r="D740" s="115"/>
      <c r="E740" s="67">
        <f>IF(真実の家賃!$L$1=TRUE,計算用1!E739,計算用2!E739)</f>
        <v>0</v>
      </c>
      <c r="F740" s="114" t="s">
        <v>7</v>
      </c>
      <c r="G740" s="115"/>
      <c r="H740" s="115"/>
      <c r="I740" s="70">
        <f t="shared" ref="I740" si="339">L738*5*L739</f>
        <v>150</v>
      </c>
      <c r="J740" s="3"/>
      <c r="K740" s="73" t="s">
        <v>628</v>
      </c>
      <c r="L740" s="72">
        <v>36</v>
      </c>
      <c r="M740" s="3" t="s">
        <v>468</v>
      </c>
    </row>
    <row r="741" spans="1:13" x14ac:dyDescent="0.45">
      <c r="A741" s="116" t="s">
        <v>6</v>
      </c>
      <c r="B741" s="115"/>
      <c r="C741" s="115"/>
      <c r="D741" s="115"/>
      <c r="E741" s="67">
        <f>IF(真実の家賃!$L$1=TRUE,計算用1!E740,計算用2!E740)</f>
        <v>238.79999999999998</v>
      </c>
      <c r="F741" s="111" t="s">
        <v>579</v>
      </c>
      <c r="G741" s="112"/>
      <c r="H741" s="112"/>
      <c r="I741" s="71">
        <f t="shared" ref="I741" si="340">I740</f>
        <v>150</v>
      </c>
      <c r="J741" s="3"/>
      <c r="K741" s="3"/>
      <c r="L741" s="3"/>
      <c r="M741" s="3"/>
    </row>
    <row r="742" spans="1:13" x14ac:dyDescent="0.45">
      <c r="A742" s="113" t="s">
        <v>579</v>
      </c>
      <c r="B742" s="112"/>
      <c r="C742" s="112"/>
      <c r="D742" s="112"/>
      <c r="E742" s="68">
        <f t="shared" ref="E742" si="341">SUM(E740:E741)</f>
        <v>238.79999999999998</v>
      </c>
      <c r="F742" s="114" t="s">
        <v>583</v>
      </c>
      <c r="G742" s="115"/>
      <c r="H742" s="115"/>
      <c r="I742" s="70">
        <f t="shared" ref="I742" si="342">L740*12*L738</f>
        <v>4320</v>
      </c>
      <c r="J742" s="3"/>
      <c r="K742" s="3"/>
      <c r="L742" s="3"/>
      <c r="M742" s="3"/>
    </row>
    <row r="743" spans="1:13" x14ac:dyDescent="0.45">
      <c r="A743" s="116" t="s">
        <v>580</v>
      </c>
      <c r="B743" s="115"/>
      <c r="C743" s="115"/>
      <c r="D743" s="115"/>
      <c r="E743" s="67">
        <f>IF(真実の家賃!$L$1=TRUE,計算用1!E742,計算用2!E742)</f>
        <v>4450.9080000000004</v>
      </c>
      <c r="F743" s="114" t="s">
        <v>596</v>
      </c>
      <c r="G743" s="115"/>
      <c r="H743" s="115"/>
      <c r="I743" s="70">
        <f>_xlfn.SWITCH(L740,1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180</v>
      </c>
      <c r="J743" s="3"/>
      <c r="K743" s="3"/>
      <c r="L743" s="3"/>
      <c r="M743" s="3"/>
    </row>
    <row r="744" spans="1:13" x14ac:dyDescent="0.45">
      <c r="A744" s="105" t="s">
        <v>581</v>
      </c>
      <c r="B744" s="106"/>
      <c r="C744" s="106"/>
      <c r="D744" s="106"/>
      <c r="E744" s="67">
        <f>IF(真実の家賃!$L$1=TRUE,計算用1!E743,計算用2!E743)</f>
        <v>540</v>
      </c>
      <c r="F744" s="111" t="s">
        <v>582</v>
      </c>
      <c r="G744" s="112"/>
      <c r="H744" s="112"/>
      <c r="I744" s="71">
        <f t="shared" ref="I744" si="343">SUM(I742:I743)</f>
        <v>4500</v>
      </c>
      <c r="J744" s="3"/>
      <c r="K744" s="3"/>
      <c r="L744" s="3"/>
      <c r="M744" s="3"/>
    </row>
    <row r="745" spans="1:13" x14ac:dyDescent="0.45">
      <c r="A745" s="116" t="s">
        <v>9</v>
      </c>
      <c r="B745" s="115"/>
      <c r="C745" s="115"/>
      <c r="D745" s="115"/>
      <c r="E745" s="67">
        <f>IF(真実の家賃!$L$1=TRUE,計算用1!E744,計算用2!E744)</f>
        <v>-295.74127519999996</v>
      </c>
      <c r="F745" s="110" t="s">
        <v>585</v>
      </c>
      <c r="G745" s="106"/>
      <c r="H745" s="106"/>
      <c r="I745" s="70">
        <f t="shared" ref="I745" si="344">15*L739</f>
        <v>45</v>
      </c>
      <c r="J745" s="3"/>
      <c r="K745" s="3"/>
      <c r="L745" s="3"/>
      <c r="M745" s="3"/>
    </row>
    <row r="746" spans="1:13" x14ac:dyDescent="0.45">
      <c r="A746" s="105" t="s">
        <v>10</v>
      </c>
      <c r="B746" s="106"/>
      <c r="C746" s="106"/>
      <c r="D746" s="106"/>
      <c r="E746" s="67">
        <f>IF(真実の家賃!$L$1=TRUE,計算用1!E745,計算用2!E745)</f>
        <v>0</v>
      </c>
      <c r="F746" s="109" t="s">
        <v>586</v>
      </c>
      <c r="G746" s="108"/>
      <c r="H746" s="108"/>
      <c r="I746" s="71">
        <f t="shared" ref="I746" si="345">I745</f>
        <v>45</v>
      </c>
      <c r="J746" s="3"/>
      <c r="K746" s="3"/>
      <c r="L746" s="3"/>
      <c r="M746" s="3"/>
    </row>
    <row r="747" spans="1:13" ht="18.600000000000001" thickBot="1" x14ac:dyDescent="0.5">
      <c r="A747" s="113" t="s">
        <v>582</v>
      </c>
      <c r="B747" s="112"/>
      <c r="C747" s="112"/>
      <c r="D747" s="112"/>
      <c r="E747" s="68">
        <f t="shared" ref="E747" si="346">E743+E744+E745+E746</f>
        <v>4695.1667248000003</v>
      </c>
      <c r="F747" s="103" t="s">
        <v>587</v>
      </c>
      <c r="G747" s="104"/>
      <c r="H747" s="104"/>
      <c r="I747" s="66">
        <f t="shared" ref="I747" si="347">I741+I744+I746</f>
        <v>4695</v>
      </c>
      <c r="J747" s="3"/>
      <c r="K747" s="3"/>
      <c r="L747" s="3"/>
      <c r="M747" s="3"/>
    </row>
    <row r="748" spans="1:13" x14ac:dyDescent="0.45">
      <c r="A748" s="105" t="s">
        <v>12</v>
      </c>
      <c r="B748" s="106"/>
      <c r="C748" s="106"/>
      <c r="D748" s="106"/>
      <c r="E748" s="67">
        <f>IF(真実の家賃!$L$1=TRUE,計算用1!E747,計算用2!E747)</f>
        <v>0</v>
      </c>
      <c r="F748" s="3"/>
      <c r="G748" s="3"/>
      <c r="H748" s="3"/>
      <c r="I748" s="3"/>
      <c r="J748" s="3"/>
      <c r="K748" s="3"/>
      <c r="L748" s="3"/>
      <c r="M748" s="3"/>
    </row>
    <row r="749" spans="1:13" x14ac:dyDescent="0.45">
      <c r="A749" s="105" t="s">
        <v>584</v>
      </c>
      <c r="B749" s="106"/>
      <c r="C749" s="106"/>
      <c r="D749" s="106"/>
      <c r="E749" s="67">
        <f>IF(真実の家賃!$L$1=TRUE,計算用1!E748,計算用2!E748)</f>
        <v>125.37</v>
      </c>
      <c r="F749" s="3"/>
      <c r="G749" s="3"/>
      <c r="H749" s="3"/>
      <c r="I749" s="3"/>
      <c r="J749" s="3"/>
      <c r="K749" s="3"/>
      <c r="L749" s="3"/>
      <c r="M749" s="3"/>
    </row>
    <row r="750" spans="1:13" x14ac:dyDescent="0.45">
      <c r="A750" s="105" t="s">
        <v>585</v>
      </c>
      <c r="B750" s="106"/>
      <c r="C750" s="106"/>
      <c r="D750" s="106"/>
      <c r="E750" s="67">
        <f>$T$8</f>
        <v>15</v>
      </c>
      <c r="F750" s="3"/>
      <c r="G750" s="3"/>
      <c r="H750" s="3"/>
      <c r="I750" s="3"/>
      <c r="J750" s="3"/>
      <c r="K750" s="3"/>
      <c r="L750" s="3"/>
      <c r="M750" s="3"/>
    </row>
    <row r="751" spans="1:13" x14ac:dyDescent="0.45">
      <c r="A751" s="107" t="s">
        <v>586</v>
      </c>
      <c r="B751" s="108"/>
      <c r="C751" s="108"/>
      <c r="D751" s="108"/>
      <c r="E751" s="68">
        <f t="shared" ref="E751" si="348">SUM(E748:E750)</f>
        <v>140.37</v>
      </c>
      <c r="F751" s="3"/>
      <c r="G751" s="3"/>
      <c r="H751" s="3"/>
      <c r="I751" s="3"/>
      <c r="J751" s="3"/>
      <c r="K751" s="3"/>
      <c r="L751" s="3"/>
      <c r="M751" s="3"/>
    </row>
    <row r="752" spans="1:13" ht="18.600000000000001" thickBot="1" x14ac:dyDescent="0.5">
      <c r="A752" s="101" t="s">
        <v>587</v>
      </c>
      <c r="B752" s="102"/>
      <c r="C752" s="102"/>
      <c r="D752" s="102"/>
      <c r="E752" s="69">
        <f t="shared" ref="E752" si="349">E742+E747+E751</f>
        <v>5074.3367248000004</v>
      </c>
      <c r="F752" s="3"/>
      <c r="G752" s="3"/>
      <c r="H752" s="3"/>
      <c r="I752" s="3"/>
      <c r="J752" s="3"/>
      <c r="K752" s="3"/>
      <c r="L752" s="3"/>
      <c r="M752" s="3"/>
    </row>
    <row r="753" spans="1:13" x14ac:dyDescent="0.4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x14ac:dyDescent="0.4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x14ac:dyDescent="0.4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x14ac:dyDescent="0.4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x14ac:dyDescent="0.4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8.600000000000001" thickBot="1" x14ac:dyDescent="0.5">
      <c r="A758" s="10" t="s">
        <v>588</v>
      </c>
      <c r="B758" s="61"/>
      <c r="C758" s="61"/>
      <c r="D758" s="61"/>
      <c r="E758" s="61"/>
      <c r="F758" s="61"/>
      <c r="G758" s="61"/>
      <c r="H758" s="100" t="s">
        <v>1</v>
      </c>
      <c r="I758" s="100"/>
      <c r="J758" s="3"/>
      <c r="K758" s="3"/>
      <c r="L758" s="3"/>
      <c r="M758" s="3"/>
    </row>
    <row r="759" spans="1:13" x14ac:dyDescent="0.45">
      <c r="A759" s="117" t="s">
        <v>576</v>
      </c>
      <c r="B759" s="118"/>
      <c r="C759" s="118"/>
      <c r="D759" s="118"/>
      <c r="E759" s="119"/>
      <c r="F759" s="120" t="s">
        <v>577</v>
      </c>
      <c r="G759" s="121"/>
      <c r="H759" s="121"/>
      <c r="I759" s="122"/>
      <c r="J759" s="3"/>
      <c r="K759" s="44" t="s">
        <v>590</v>
      </c>
      <c r="L759" s="39">
        <f>損益分岐点!$M$2</f>
        <v>10</v>
      </c>
      <c r="M759" s="3" t="s">
        <v>465</v>
      </c>
    </row>
    <row r="760" spans="1:13" x14ac:dyDescent="0.45">
      <c r="A760" s="123" t="s">
        <v>578</v>
      </c>
      <c r="B760" s="124"/>
      <c r="C760" s="124"/>
      <c r="D760" s="124"/>
      <c r="E760" s="65" t="s">
        <v>0</v>
      </c>
      <c r="F760" s="125" t="s">
        <v>578</v>
      </c>
      <c r="G760" s="124"/>
      <c r="H760" s="124"/>
      <c r="I760" s="65" t="s">
        <v>0</v>
      </c>
      <c r="J760" s="3"/>
      <c r="K760" s="58" t="s">
        <v>589</v>
      </c>
      <c r="L760" s="74">
        <f>$T$5</f>
        <v>3</v>
      </c>
      <c r="M760" s="3" t="s">
        <v>594</v>
      </c>
    </row>
    <row r="761" spans="1:13" ht="18.600000000000001" thickBot="1" x14ac:dyDescent="0.5">
      <c r="A761" s="116" t="s">
        <v>3</v>
      </c>
      <c r="B761" s="115"/>
      <c r="C761" s="115"/>
      <c r="D761" s="115"/>
      <c r="E761" s="67">
        <f>IF(真実の家賃!$L$1=TRUE,計算用1!E760,計算用2!E760)</f>
        <v>0</v>
      </c>
      <c r="F761" s="114" t="s">
        <v>7</v>
      </c>
      <c r="G761" s="115"/>
      <c r="H761" s="115"/>
      <c r="I761" s="70">
        <f t="shared" ref="I761" si="350">L759*5*L760</f>
        <v>150</v>
      </c>
      <c r="J761" s="3"/>
      <c r="K761" s="73" t="s">
        <v>628</v>
      </c>
      <c r="L761" s="72">
        <v>37</v>
      </c>
      <c r="M761" s="3" t="s">
        <v>468</v>
      </c>
    </row>
    <row r="762" spans="1:13" x14ac:dyDescent="0.45">
      <c r="A762" s="116" t="s">
        <v>6</v>
      </c>
      <c r="B762" s="115"/>
      <c r="C762" s="115"/>
      <c r="D762" s="115"/>
      <c r="E762" s="67">
        <f>IF(真実の家賃!$L$1=TRUE,計算用1!E761,計算用2!E761)</f>
        <v>238.79999999999998</v>
      </c>
      <c r="F762" s="111" t="s">
        <v>579</v>
      </c>
      <c r="G762" s="112"/>
      <c r="H762" s="112"/>
      <c r="I762" s="71">
        <f t="shared" ref="I762" si="351">I761</f>
        <v>150</v>
      </c>
      <c r="J762" s="3"/>
      <c r="K762" s="3"/>
      <c r="L762" s="3"/>
      <c r="M762" s="3"/>
    </row>
    <row r="763" spans="1:13" x14ac:dyDescent="0.45">
      <c r="A763" s="113" t="s">
        <v>579</v>
      </c>
      <c r="B763" s="112"/>
      <c r="C763" s="112"/>
      <c r="D763" s="112"/>
      <c r="E763" s="68">
        <f t="shared" ref="E763" si="352">SUM(E761:E762)</f>
        <v>238.79999999999998</v>
      </c>
      <c r="F763" s="114" t="s">
        <v>583</v>
      </c>
      <c r="G763" s="115"/>
      <c r="H763" s="115"/>
      <c r="I763" s="70">
        <f t="shared" ref="I763" si="353">L761*12*L759</f>
        <v>4440</v>
      </c>
      <c r="J763" s="3"/>
      <c r="K763" s="3"/>
      <c r="L763" s="3"/>
      <c r="M763" s="3"/>
    </row>
    <row r="764" spans="1:13" x14ac:dyDescent="0.45">
      <c r="A764" s="116" t="s">
        <v>580</v>
      </c>
      <c r="B764" s="115"/>
      <c r="C764" s="115"/>
      <c r="D764" s="115"/>
      <c r="E764" s="67">
        <f>IF(真実の家賃!$L$1=TRUE,計算用1!E763,計算用2!E763)</f>
        <v>4450.9080000000004</v>
      </c>
      <c r="F764" s="114" t="s">
        <v>596</v>
      </c>
      <c r="G764" s="115"/>
      <c r="H764" s="115"/>
      <c r="I764" s="70">
        <f>_xlfn.SWITCH(L761,1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180</v>
      </c>
      <c r="J764" s="3"/>
      <c r="K764" s="3"/>
      <c r="L764" s="3"/>
      <c r="M764" s="3"/>
    </row>
    <row r="765" spans="1:13" x14ac:dyDescent="0.45">
      <c r="A765" s="105" t="s">
        <v>581</v>
      </c>
      <c r="B765" s="106"/>
      <c r="C765" s="106"/>
      <c r="D765" s="106"/>
      <c r="E765" s="67">
        <f>IF(真実の家賃!$L$1=TRUE,計算用1!E764,計算用2!E764)</f>
        <v>555</v>
      </c>
      <c r="F765" s="111" t="s">
        <v>582</v>
      </c>
      <c r="G765" s="112"/>
      <c r="H765" s="112"/>
      <c r="I765" s="71">
        <f t="shared" ref="I765" si="354">SUM(I763:I764)</f>
        <v>4620</v>
      </c>
      <c r="J765" s="3"/>
      <c r="K765" s="3"/>
      <c r="L765" s="3"/>
      <c r="M765" s="3"/>
    </row>
    <row r="766" spans="1:13" x14ac:dyDescent="0.45">
      <c r="A766" s="116" t="s">
        <v>9</v>
      </c>
      <c r="B766" s="115"/>
      <c r="C766" s="115"/>
      <c r="D766" s="115"/>
      <c r="E766" s="67">
        <f>IF(真実の家賃!$L$1=TRUE,計算用1!E765,計算用2!E765)</f>
        <v>-295.74127519999996</v>
      </c>
      <c r="F766" s="110" t="s">
        <v>585</v>
      </c>
      <c r="G766" s="106"/>
      <c r="H766" s="106"/>
      <c r="I766" s="70">
        <f t="shared" ref="I766" si="355">15*L760</f>
        <v>45</v>
      </c>
      <c r="J766" s="3"/>
      <c r="K766" s="3"/>
      <c r="L766" s="3"/>
      <c r="M766" s="3"/>
    </row>
    <row r="767" spans="1:13" x14ac:dyDescent="0.45">
      <c r="A767" s="105" t="s">
        <v>10</v>
      </c>
      <c r="B767" s="106"/>
      <c r="C767" s="106"/>
      <c r="D767" s="106"/>
      <c r="E767" s="67">
        <f>IF(真実の家賃!$L$1=TRUE,計算用1!E766,計算用2!E766)</f>
        <v>0</v>
      </c>
      <c r="F767" s="109" t="s">
        <v>586</v>
      </c>
      <c r="G767" s="108"/>
      <c r="H767" s="108"/>
      <c r="I767" s="71">
        <f t="shared" ref="I767" si="356">I766</f>
        <v>45</v>
      </c>
      <c r="J767" s="3"/>
      <c r="K767" s="3"/>
      <c r="L767" s="3"/>
      <c r="M767" s="3"/>
    </row>
    <row r="768" spans="1:13" ht="18.600000000000001" thickBot="1" x14ac:dyDescent="0.5">
      <c r="A768" s="113" t="s">
        <v>582</v>
      </c>
      <c r="B768" s="112"/>
      <c r="C768" s="112"/>
      <c r="D768" s="112"/>
      <c r="E768" s="68">
        <f t="shared" ref="E768" si="357">E764+E765+E766+E767</f>
        <v>4710.1667248000003</v>
      </c>
      <c r="F768" s="103" t="s">
        <v>587</v>
      </c>
      <c r="G768" s="104"/>
      <c r="H768" s="104"/>
      <c r="I768" s="66">
        <f t="shared" ref="I768" si="358">I762+I765+I767</f>
        <v>4815</v>
      </c>
      <c r="J768" s="3"/>
      <c r="K768" s="3"/>
      <c r="L768" s="3"/>
      <c r="M768" s="3"/>
    </row>
    <row r="769" spans="1:13" x14ac:dyDescent="0.45">
      <c r="A769" s="105" t="s">
        <v>12</v>
      </c>
      <c r="B769" s="106"/>
      <c r="C769" s="106"/>
      <c r="D769" s="106"/>
      <c r="E769" s="67">
        <f>IF(真実の家賃!$L$1=TRUE,計算用1!E768,計算用2!E768)</f>
        <v>0</v>
      </c>
      <c r="F769" s="3"/>
      <c r="G769" s="3"/>
      <c r="H769" s="3"/>
      <c r="I769" s="3"/>
      <c r="J769" s="3"/>
      <c r="K769" s="3"/>
      <c r="L769" s="3"/>
      <c r="M769" s="3"/>
    </row>
    <row r="770" spans="1:13" x14ac:dyDescent="0.45">
      <c r="A770" s="105" t="s">
        <v>584</v>
      </c>
      <c r="B770" s="106"/>
      <c r="C770" s="106"/>
      <c r="D770" s="106"/>
      <c r="E770" s="67">
        <f>IF(真実の家賃!$L$1=TRUE,計算用1!E769,計算用2!E769)</f>
        <v>125.37</v>
      </c>
      <c r="F770" s="3"/>
      <c r="G770" s="3"/>
      <c r="H770" s="3"/>
      <c r="I770" s="3"/>
      <c r="J770" s="3"/>
      <c r="K770" s="3"/>
      <c r="L770" s="3"/>
      <c r="M770" s="3"/>
    </row>
    <row r="771" spans="1:13" x14ac:dyDescent="0.45">
      <c r="A771" s="105" t="s">
        <v>585</v>
      </c>
      <c r="B771" s="106"/>
      <c r="C771" s="106"/>
      <c r="D771" s="106"/>
      <c r="E771" s="67">
        <f>$T$8</f>
        <v>15</v>
      </c>
      <c r="F771" s="3"/>
      <c r="G771" s="3"/>
      <c r="H771" s="3"/>
      <c r="I771" s="3"/>
      <c r="J771" s="3"/>
      <c r="K771" s="3"/>
      <c r="L771" s="3"/>
      <c r="M771" s="3"/>
    </row>
    <row r="772" spans="1:13" x14ac:dyDescent="0.45">
      <c r="A772" s="107" t="s">
        <v>586</v>
      </c>
      <c r="B772" s="108"/>
      <c r="C772" s="108"/>
      <c r="D772" s="108"/>
      <c r="E772" s="68">
        <f t="shared" ref="E772" si="359">SUM(E769:E771)</f>
        <v>140.37</v>
      </c>
      <c r="F772" s="3"/>
      <c r="G772" s="3"/>
      <c r="H772" s="3"/>
      <c r="I772" s="3"/>
      <c r="J772" s="3"/>
      <c r="K772" s="3"/>
      <c r="L772" s="3"/>
      <c r="M772" s="3"/>
    </row>
    <row r="773" spans="1:13" ht="18.600000000000001" thickBot="1" x14ac:dyDescent="0.5">
      <c r="A773" s="101" t="s">
        <v>587</v>
      </c>
      <c r="B773" s="102"/>
      <c r="C773" s="102"/>
      <c r="D773" s="102"/>
      <c r="E773" s="69">
        <f t="shared" ref="E773" si="360">E763+E768+E772</f>
        <v>5089.3367248000004</v>
      </c>
      <c r="F773" s="3"/>
      <c r="G773" s="3"/>
      <c r="H773" s="3"/>
      <c r="I773" s="3"/>
      <c r="J773" s="3"/>
      <c r="K773" s="3"/>
      <c r="L773" s="3"/>
      <c r="M773" s="3"/>
    </row>
    <row r="774" spans="1:13" x14ac:dyDescent="0.4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x14ac:dyDescent="0.4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x14ac:dyDescent="0.4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x14ac:dyDescent="0.4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x14ac:dyDescent="0.4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8.600000000000001" thickBot="1" x14ac:dyDescent="0.5">
      <c r="A779" s="10" t="s">
        <v>588</v>
      </c>
      <c r="B779" s="61"/>
      <c r="C779" s="61"/>
      <c r="D779" s="61"/>
      <c r="E779" s="61"/>
      <c r="F779" s="61"/>
      <c r="G779" s="61"/>
      <c r="H779" s="100" t="s">
        <v>1</v>
      </c>
      <c r="I779" s="100"/>
      <c r="J779" s="3"/>
      <c r="K779" s="3"/>
      <c r="L779" s="3"/>
      <c r="M779" s="3"/>
    </row>
    <row r="780" spans="1:13" x14ac:dyDescent="0.45">
      <c r="A780" s="117" t="s">
        <v>576</v>
      </c>
      <c r="B780" s="118"/>
      <c r="C780" s="118"/>
      <c r="D780" s="118"/>
      <c r="E780" s="119"/>
      <c r="F780" s="120" t="s">
        <v>577</v>
      </c>
      <c r="G780" s="121"/>
      <c r="H780" s="121"/>
      <c r="I780" s="122"/>
      <c r="J780" s="3"/>
      <c r="K780" s="44" t="s">
        <v>590</v>
      </c>
      <c r="L780" s="39">
        <f>損益分岐点!$M$2</f>
        <v>10</v>
      </c>
      <c r="M780" s="3" t="s">
        <v>465</v>
      </c>
    </row>
    <row r="781" spans="1:13" x14ac:dyDescent="0.45">
      <c r="A781" s="123" t="s">
        <v>578</v>
      </c>
      <c r="B781" s="124"/>
      <c r="C781" s="124"/>
      <c r="D781" s="124"/>
      <c r="E781" s="65" t="s">
        <v>0</v>
      </c>
      <c r="F781" s="125" t="s">
        <v>578</v>
      </c>
      <c r="G781" s="124"/>
      <c r="H781" s="124"/>
      <c r="I781" s="65" t="s">
        <v>0</v>
      </c>
      <c r="J781" s="3"/>
      <c r="K781" s="58" t="s">
        <v>589</v>
      </c>
      <c r="L781" s="74">
        <f>$T$5</f>
        <v>3</v>
      </c>
      <c r="M781" s="3" t="s">
        <v>594</v>
      </c>
    </row>
    <row r="782" spans="1:13" ht="18.600000000000001" thickBot="1" x14ac:dyDescent="0.5">
      <c r="A782" s="116" t="s">
        <v>3</v>
      </c>
      <c r="B782" s="115"/>
      <c r="C782" s="115"/>
      <c r="D782" s="115"/>
      <c r="E782" s="67">
        <f>IF(真実の家賃!$L$1=TRUE,計算用1!E781,計算用2!E781)</f>
        <v>0</v>
      </c>
      <c r="F782" s="114" t="s">
        <v>7</v>
      </c>
      <c r="G782" s="115"/>
      <c r="H782" s="115"/>
      <c r="I782" s="70">
        <f t="shared" ref="I782" si="361">L780*5*L781</f>
        <v>150</v>
      </c>
      <c r="J782" s="3"/>
      <c r="K782" s="73" t="s">
        <v>628</v>
      </c>
      <c r="L782" s="72">
        <v>38</v>
      </c>
      <c r="M782" s="3" t="s">
        <v>468</v>
      </c>
    </row>
    <row r="783" spans="1:13" x14ac:dyDescent="0.45">
      <c r="A783" s="116" t="s">
        <v>6</v>
      </c>
      <c r="B783" s="115"/>
      <c r="C783" s="115"/>
      <c r="D783" s="115"/>
      <c r="E783" s="67">
        <f>IF(真実の家賃!$L$1=TRUE,計算用1!E782,計算用2!E782)</f>
        <v>238.79999999999998</v>
      </c>
      <c r="F783" s="111" t="s">
        <v>579</v>
      </c>
      <c r="G783" s="112"/>
      <c r="H783" s="112"/>
      <c r="I783" s="71">
        <f t="shared" ref="I783" si="362">I782</f>
        <v>150</v>
      </c>
      <c r="J783" s="3"/>
      <c r="K783" s="3"/>
      <c r="L783" s="3"/>
      <c r="M783" s="3"/>
    </row>
    <row r="784" spans="1:13" x14ac:dyDescent="0.45">
      <c r="A784" s="113" t="s">
        <v>579</v>
      </c>
      <c r="B784" s="112"/>
      <c r="C784" s="112"/>
      <c r="D784" s="112"/>
      <c r="E784" s="68">
        <f t="shared" ref="E784" si="363">SUM(E782:E783)</f>
        <v>238.79999999999998</v>
      </c>
      <c r="F784" s="114" t="s">
        <v>583</v>
      </c>
      <c r="G784" s="115"/>
      <c r="H784" s="115"/>
      <c r="I784" s="70">
        <f t="shared" ref="I784" si="364">L782*12*L780</f>
        <v>4560</v>
      </c>
      <c r="J784" s="3"/>
      <c r="K784" s="3"/>
      <c r="L784" s="3"/>
      <c r="M784" s="3"/>
    </row>
    <row r="785" spans="1:13" x14ac:dyDescent="0.45">
      <c r="A785" s="116" t="s">
        <v>580</v>
      </c>
      <c r="B785" s="115"/>
      <c r="C785" s="115"/>
      <c r="D785" s="115"/>
      <c r="E785" s="67">
        <f>IF(真実の家賃!$L$1=TRUE,計算用1!E784,計算用2!E784)</f>
        <v>4450.9080000000004</v>
      </c>
      <c r="F785" s="114" t="s">
        <v>596</v>
      </c>
      <c r="G785" s="115"/>
      <c r="H785" s="115"/>
      <c r="I785" s="70">
        <f>_xlfn.SWITCH(L782,1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190</v>
      </c>
      <c r="J785" s="3"/>
      <c r="K785" s="3"/>
      <c r="L785" s="3"/>
      <c r="M785" s="3"/>
    </row>
    <row r="786" spans="1:13" x14ac:dyDescent="0.45">
      <c r="A786" s="105" t="s">
        <v>581</v>
      </c>
      <c r="B786" s="106"/>
      <c r="C786" s="106"/>
      <c r="D786" s="106"/>
      <c r="E786" s="67">
        <f>IF(真実の家賃!$L$1=TRUE,計算用1!E785,計算用2!E785)</f>
        <v>570</v>
      </c>
      <c r="F786" s="111" t="s">
        <v>582</v>
      </c>
      <c r="G786" s="112"/>
      <c r="H786" s="112"/>
      <c r="I786" s="71">
        <f t="shared" ref="I786" si="365">SUM(I784:I785)</f>
        <v>4750</v>
      </c>
      <c r="J786" s="3"/>
      <c r="K786" s="3"/>
      <c r="L786" s="3"/>
      <c r="M786" s="3"/>
    </row>
    <row r="787" spans="1:13" x14ac:dyDescent="0.45">
      <c r="A787" s="116" t="s">
        <v>9</v>
      </c>
      <c r="B787" s="115"/>
      <c r="C787" s="115"/>
      <c r="D787" s="115"/>
      <c r="E787" s="67">
        <f>IF(真実の家賃!$L$1=TRUE,計算用1!E786,計算用2!E786)</f>
        <v>-295.74127519999996</v>
      </c>
      <c r="F787" s="110" t="s">
        <v>585</v>
      </c>
      <c r="G787" s="106"/>
      <c r="H787" s="106"/>
      <c r="I787" s="70">
        <f t="shared" ref="I787" si="366">15*L781</f>
        <v>45</v>
      </c>
      <c r="J787" s="3"/>
      <c r="K787" s="3"/>
      <c r="L787" s="3"/>
      <c r="M787" s="3"/>
    </row>
    <row r="788" spans="1:13" x14ac:dyDescent="0.45">
      <c r="A788" s="105" t="s">
        <v>10</v>
      </c>
      <c r="B788" s="106"/>
      <c r="C788" s="106"/>
      <c r="D788" s="106"/>
      <c r="E788" s="67">
        <f>IF(真実の家賃!$L$1=TRUE,計算用1!E787,計算用2!E787)</f>
        <v>0</v>
      </c>
      <c r="F788" s="109" t="s">
        <v>586</v>
      </c>
      <c r="G788" s="108"/>
      <c r="H788" s="108"/>
      <c r="I788" s="71">
        <f t="shared" ref="I788" si="367">I787</f>
        <v>45</v>
      </c>
      <c r="J788" s="3"/>
      <c r="K788" s="3"/>
      <c r="L788" s="3"/>
      <c r="M788" s="3"/>
    </row>
    <row r="789" spans="1:13" ht="18.600000000000001" thickBot="1" x14ac:dyDescent="0.5">
      <c r="A789" s="113" t="s">
        <v>582</v>
      </c>
      <c r="B789" s="112"/>
      <c r="C789" s="112"/>
      <c r="D789" s="112"/>
      <c r="E789" s="68">
        <f t="shared" ref="E789" si="368">E785+E786+E787+E788</f>
        <v>4725.1667248000003</v>
      </c>
      <c r="F789" s="103" t="s">
        <v>587</v>
      </c>
      <c r="G789" s="104"/>
      <c r="H789" s="104"/>
      <c r="I789" s="66">
        <f t="shared" ref="I789" si="369">I783+I786+I788</f>
        <v>4945</v>
      </c>
      <c r="J789" s="3"/>
      <c r="K789" s="3"/>
      <c r="L789" s="3"/>
      <c r="M789" s="3"/>
    </row>
    <row r="790" spans="1:13" x14ac:dyDescent="0.45">
      <c r="A790" s="105" t="s">
        <v>12</v>
      </c>
      <c r="B790" s="106"/>
      <c r="C790" s="106"/>
      <c r="D790" s="106"/>
      <c r="E790" s="67">
        <f>IF(真実の家賃!$L$1=TRUE,計算用1!E789,計算用2!E789)</f>
        <v>0</v>
      </c>
      <c r="F790" s="3"/>
      <c r="G790" s="3"/>
      <c r="H790" s="3"/>
      <c r="I790" s="3"/>
      <c r="J790" s="3"/>
      <c r="K790" s="3"/>
      <c r="L790" s="3"/>
      <c r="M790" s="3"/>
    </row>
    <row r="791" spans="1:13" x14ac:dyDescent="0.45">
      <c r="A791" s="105" t="s">
        <v>584</v>
      </c>
      <c r="B791" s="106"/>
      <c r="C791" s="106"/>
      <c r="D791" s="106"/>
      <c r="E791" s="67">
        <f>IF(真実の家賃!$L$1=TRUE,計算用1!E790,計算用2!E790)</f>
        <v>125.37</v>
      </c>
      <c r="F791" s="3"/>
      <c r="G791" s="3"/>
      <c r="H791" s="3"/>
      <c r="I791" s="3"/>
      <c r="J791" s="3"/>
      <c r="K791" s="3"/>
      <c r="L791" s="3"/>
      <c r="M791" s="3"/>
    </row>
    <row r="792" spans="1:13" x14ac:dyDescent="0.45">
      <c r="A792" s="105" t="s">
        <v>585</v>
      </c>
      <c r="B792" s="106"/>
      <c r="C792" s="106"/>
      <c r="D792" s="106"/>
      <c r="E792" s="67">
        <f>$T$8</f>
        <v>15</v>
      </c>
      <c r="F792" s="3"/>
      <c r="G792" s="3"/>
      <c r="H792" s="3"/>
      <c r="I792" s="3"/>
      <c r="J792" s="3"/>
      <c r="K792" s="3"/>
      <c r="L792" s="3"/>
      <c r="M792" s="3"/>
    </row>
    <row r="793" spans="1:13" x14ac:dyDescent="0.45">
      <c r="A793" s="107" t="s">
        <v>586</v>
      </c>
      <c r="B793" s="108"/>
      <c r="C793" s="108"/>
      <c r="D793" s="108"/>
      <c r="E793" s="68">
        <f t="shared" ref="E793" si="370">SUM(E790:E792)</f>
        <v>140.37</v>
      </c>
      <c r="F793" s="3"/>
      <c r="G793" s="3"/>
      <c r="H793" s="3"/>
      <c r="I793" s="3"/>
      <c r="J793" s="3"/>
      <c r="K793" s="3"/>
      <c r="L793" s="3"/>
      <c r="M793" s="3"/>
    </row>
    <row r="794" spans="1:13" ht="18.600000000000001" thickBot="1" x14ac:dyDescent="0.5">
      <c r="A794" s="101" t="s">
        <v>587</v>
      </c>
      <c r="B794" s="102"/>
      <c r="C794" s="102"/>
      <c r="D794" s="102"/>
      <c r="E794" s="69">
        <f t="shared" ref="E794" si="371">E784+E789+E793</f>
        <v>5104.3367248000004</v>
      </c>
      <c r="F794" s="3"/>
      <c r="G794" s="3"/>
      <c r="H794" s="3"/>
      <c r="I794" s="3"/>
      <c r="J794" s="3"/>
      <c r="K794" s="3"/>
      <c r="L794" s="3"/>
      <c r="M794" s="3"/>
    </row>
    <row r="795" spans="1:13" x14ac:dyDescent="0.4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x14ac:dyDescent="0.4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x14ac:dyDescent="0.4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x14ac:dyDescent="0.4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x14ac:dyDescent="0.4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8.600000000000001" thickBot="1" x14ac:dyDescent="0.5">
      <c r="A800" s="10" t="s">
        <v>588</v>
      </c>
      <c r="B800" s="61"/>
      <c r="C800" s="61"/>
      <c r="D800" s="61"/>
      <c r="E800" s="61"/>
      <c r="F800" s="61"/>
      <c r="G800" s="61"/>
      <c r="H800" s="100" t="s">
        <v>1</v>
      </c>
      <c r="I800" s="100"/>
      <c r="J800" s="3"/>
      <c r="K800" s="3"/>
      <c r="L800" s="3"/>
      <c r="M800" s="3"/>
    </row>
    <row r="801" spans="1:13" x14ac:dyDescent="0.45">
      <c r="A801" s="117" t="s">
        <v>576</v>
      </c>
      <c r="B801" s="118"/>
      <c r="C801" s="118"/>
      <c r="D801" s="118"/>
      <c r="E801" s="119"/>
      <c r="F801" s="120" t="s">
        <v>577</v>
      </c>
      <c r="G801" s="121"/>
      <c r="H801" s="121"/>
      <c r="I801" s="122"/>
      <c r="J801" s="3"/>
      <c r="K801" s="44" t="s">
        <v>590</v>
      </c>
      <c r="L801" s="39">
        <f>損益分岐点!$M$2</f>
        <v>10</v>
      </c>
      <c r="M801" s="3" t="s">
        <v>465</v>
      </c>
    </row>
    <row r="802" spans="1:13" x14ac:dyDescent="0.45">
      <c r="A802" s="123" t="s">
        <v>578</v>
      </c>
      <c r="B802" s="124"/>
      <c r="C802" s="124"/>
      <c r="D802" s="124"/>
      <c r="E802" s="65" t="s">
        <v>0</v>
      </c>
      <c r="F802" s="125" t="s">
        <v>578</v>
      </c>
      <c r="G802" s="124"/>
      <c r="H802" s="124"/>
      <c r="I802" s="65" t="s">
        <v>0</v>
      </c>
      <c r="J802" s="3"/>
      <c r="K802" s="58" t="s">
        <v>589</v>
      </c>
      <c r="L802" s="74">
        <f>$T$5</f>
        <v>3</v>
      </c>
      <c r="M802" s="3" t="s">
        <v>594</v>
      </c>
    </row>
    <row r="803" spans="1:13" ht="18.600000000000001" thickBot="1" x14ac:dyDescent="0.5">
      <c r="A803" s="116" t="s">
        <v>3</v>
      </c>
      <c r="B803" s="115"/>
      <c r="C803" s="115"/>
      <c r="D803" s="115"/>
      <c r="E803" s="67">
        <f>IF(真実の家賃!$L$1=TRUE,計算用1!E802,計算用2!E802)</f>
        <v>0</v>
      </c>
      <c r="F803" s="114" t="s">
        <v>7</v>
      </c>
      <c r="G803" s="115"/>
      <c r="H803" s="115"/>
      <c r="I803" s="70">
        <f>L801*5*L802</f>
        <v>150</v>
      </c>
      <c r="J803" s="3"/>
      <c r="K803" s="73" t="s">
        <v>628</v>
      </c>
      <c r="L803" s="72">
        <v>39</v>
      </c>
      <c r="M803" s="3" t="s">
        <v>468</v>
      </c>
    </row>
    <row r="804" spans="1:13" x14ac:dyDescent="0.45">
      <c r="A804" s="116" t="s">
        <v>6</v>
      </c>
      <c r="B804" s="115"/>
      <c r="C804" s="115"/>
      <c r="D804" s="115"/>
      <c r="E804" s="67">
        <f>IF(真実の家賃!$L$1=TRUE,計算用1!E803,計算用2!E803)</f>
        <v>238.79999999999998</v>
      </c>
      <c r="F804" s="111" t="s">
        <v>579</v>
      </c>
      <c r="G804" s="112"/>
      <c r="H804" s="112"/>
      <c r="I804" s="71">
        <f t="shared" ref="I804" si="372">I803</f>
        <v>150</v>
      </c>
      <c r="J804" s="3"/>
      <c r="K804" s="3"/>
      <c r="L804" s="3"/>
      <c r="M804" s="3"/>
    </row>
    <row r="805" spans="1:13" x14ac:dyDescent="0.45">
      <c r="A805" s="113" t="s">
        <v>579</v>
      </c>
      <c r="B805" s="112"/>
      <c r="C805" s="112"/>
      <c r="D805" s="112"/>
      <c r="E805" s="68">
        <f t="shared" ref="E805" si="373">SUM(E803:E804)</f>
        <v>238.79999999999998</v>
      </c>
      <c r="F805" s="114" t="s">
        <v>583</v>
      </c>
      <c r="G805" s="115"/>
      <c r="H805" s="115"/>
      <c r="I805" s="70">
        <f>L803*12*L801</f>
        <v>4680</v>
      </c>
      <c r="J805" s="3"/>
      <c r="K805" s="3"/>
      <c r="L805" s="3"/>
      <c r="M805" s="3"/>
    </row>
    <row r="806" spans="1:13" x14ac:dyDescent="0.45">
      <c r="A806" s="116" t="s">
        <v>580</v>
      </c>
      <c r="B806" s="115"/>
      <c r="C806" s="115"/>
      <c r="D806" s="115"/>
      <c r="E806" s="67">
        <f>IF(真実の家賃!$L$1=TRUE,計算用1!E805,計算用2!E805)</f>
        <v>4450.9080000000004</v>
      </c>
      <c r="F806" s="114" t="s">
        <v>596</v>
      </c>
      <c r="G806" s="115"/>
      <c r="H806" s="115"/>
      <c r="I806" s="70">
        <f>_xlfn.SWITCH(L803,1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190</v>
      </c>
      <c r="J806" s="3"/>
      <c r="K806" s="3"/>
      <c r="L806" s="3"/>
      <c r="M806" s="3"/>
    </row>
    <row r="807" spans="1:13" x14ac:dyDescent="0.45">
      <c r="A807" s="105" t="s">
        <v>581</v>
      </c>
      <c r="B807" s="106"/>
      <c r="C807" s="106"/>
      <c r="D807" s="106"/>
      <c r="E807" s="67">
        <f>IF(真実の家賃!$L$1=TRUE,計算用1!E806,計算用2!E806)</f>
        <v>585</v>
      </c>
      <c r="F807" s="111" t="s">
        <v>582</v>
      </c>
      <c r="G807" s="112"/>
      <c r="H807" s="112"/>
      <c r="I807" s="71">
        <f t="shared" ref="I807" si="374">SUM(I805:I806)</f>
        <v>4870</v>
      </c>
      <c r="J807" s="3"/>
      <c r="K807" s="3"/>
      <c r="L807" s="3"/>
      <c r="M807" s="3"/>
    </row>
    <row r="808" spans="1:13" x14ac:dyDescent="0.45">
      <c r="A808" s="116" t="s">
        <v>9</v>
      </c>
      <c r="B808" s="115"/>
      <c r="C808" s="115"/>
      <c r="D808" s="115"/>
      <c r="E808" s="67">
        <f>IF(真実の家賃!$L$1=TRUE,計算用1!E807,計算用2!E807)</f>
        <v>-295.74127519999996</v>
      </c>
      <c r="F808" s="110" t="s">
        <v>585</v>
      </c>
      <c r="G808" s="106"/>
      <c r="H808" s="106"/>
      <c r="I808" s="70">
        <f>15*L802</f>
        <v>45</v>
      </c>
      <c r="J808" s="3"/>
      <c r="K808" s="3"/>
      <c r="L808" s="3"/>
      <c r="M808" s="3"/>
    </row>
    <row r="809" spans="1:13" x14ac:dyDescent="0.45">
      <c r="A809" s="105" t="s">
        <v>10</v>
      </c>
      <c r="B809" s="106"/>
      <c r="C809" s="106"/>
      <c r="D809" s="106"/>
      <c r="E809" s="67">
        <f>IF(真実の家賃!$L$1=TRUE,計算用1!E808,計算用2!E808)</f>
        <v>0</v>
      </c>
      <c r="F809" s="109" t="s">
        <v>586</v>
      </c>
      <c r="G809" s="108"/>
      <c r="H809" s="108"/>
      <c r="I809" s="71">
        <f t="shared" ref="I809" si="375">I808</f>
        <v>45</v>
      </c>
      <c r="J809" s="3"/>
      <c r="K809" s="3"/>
      <c r="L809" s="3"/>
      <c r="M809" s="3"/>
    </row>
    <row r="810" spans="1:13" ht="18.600000000000001" thickBot="1" x14ac:dyDescent="0.5">
      <c r="A810" s="113" t="s">
        <v>582</v>
      </c>
      <c r="B810" s="112"/>
      <c r="C810" s="112"/>
      <c r="D810" s="112"/>
      <c r="E810" s="68">
        <f t="shared" ref="E810" si="376">E806+E807+E808+E809</f>
        <v>4740.1667248000003</v>
      </c>
      <c r="F810" s="103" t="s">
        <v>587</v>
      </c>
      <c r="G810" s="104"/>
      <c r="H810" s="104"/>
      <c r="I810" s="66">
        <f t="shared" ref="I810" si="377">I804+I807+I809</f>
        <v>5065</v>
      </c>
      <c r="J810" s="3"/>
      <c r="K810" s="3"/>
      <c r="L810" s="3"/>
      <c r="M810" s="3"/>
    </row>
    <row r="811" spans="1:13" x14ac:dyDescent="0.45">
      <c r="A811" s="105" t="s">
        <v>12</v>
      </c>
      <c r="B811" s="106"/>
      <c r="C811" s="106"/>
      <c r="D811" s="106"/>
      <c r="E811" s="67">
        <f>IF(真実の家賃!$L$1=TRUE,計算用1!E810,計算用2!E810)</f>
        <v>0</v>
      </c>
      <c r="F811" s="3"/>
      <c r="G811" s="3"/>
      <c r="H811" s="3"/>
      <c r="I811" s="3"/>
      <c r="J811" s="3"/>
      <c r="K811" s="3"/>
      <c r="L811" s="3"/>
      <c r="M811" s="3"/>
    </row>
    <row r="812" spans="1:13" x14ac:dyDescent="0.45">
      <c r="A812" s="105" t="s">
        <v>584</v>
      </c>
      <c r="B812" s="106"/>
      <c r="C812" s="106"/>
      <c r="D812" s="106"/>
      <c r="E812" s="67">
        <f>IF(真実の家賃!$L$1=TRUE,計算用1!E811,計算用2!E811)</f>
        <v>125.37</v>
      </c>
      <c r="F812" s="3"/>
      <c r="G812" s="3"/>
      <c r="H812" s="3"/>
      <c r="I812" s="3"/>
      <c r="J812" s="3"/>
      <c r="K812" s="3"/>
      <c r="L812" s="3"/>
      <c r="M812" s="3"/>
    </row>
    <row r="813" spans="1:13" x14ac:dyDescent="0.45">
      <c r="A813" s="105" t="s">
        <v>585</v>
      </c>
      <c r="B813" s="106"/>
      <c r="C813" s="106"/>
      <c r="D813" s="106"/>
      <c r="E813" s="67">
        <f>$T$8</f>
        <v>15</v>
      </c>
      <c r="F813" s="3"/>
      <c r="G813" s="3"/>
      <c r="H813" s="3"/>
      <c r="I813" s="3"/>
      <c r="J813" s="3"/>
      <c r="K813" s="3"/>
      <c r="L813" s="3"/>
      <c r="M813" s="3"/>
    </row>
    <row r="814" spans="1:13" x14ac:dyDescent="0.45">
      <c r="A814" s="107" t="s">
        <v>586</v>
      </c>
      <c r="B814" s="108"/>
      <c r="C814" s="108"/>
      <c r="D814" s="108"/>
      <c r="E814" s="68">
        <f t="shared" ref="E814" si="378">SUM(E811:E813)</f>
        <v>140.37</v>
      </c>
      <c r="F814" s="3"/>
      <c r="G814" s="3"/>
      <c r="H814" s="3"/>
      <c r="I814" s="3"/>
      <c r="J814" s="3"/>
      <c r="K814" s="3"/>
      <c r="L814" s="3"/>
      <c r="M814" s="3"/>
    </row>
    <row r="815" spans="1:13" ht="18.600000000000001" thickBot="1" x14ac:dyDescent="0.5">
      <c r="A815" s="101" t="s">
        <v>587</v>
      </c>
      <c r="B815" s="102"/>
      <c r="C815" s="102"/>
      <c r="D815" s="102"/>
      <c r="E815" s="69">
        <f t="shared" ref="E815" si="379">E805+E810+E814</f>
        <v>5119.3367248000004</v>
      </c>
      <c r="F815" s="3"/>
      <c r="G815" s="3"/>
      <c r="H815" s="3"/>
      <c r="I815" s="3"/>
      <c r="J815" s="3"/>
      <c r="K815" s="3"/>
      <c r="L815" s="3"/>
      <c r="M815" s="3"/>
    </row>
    <row r="816" spans="1:13" x14ac:dyDescent="0.4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x14ac:dyDescent="0.4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x14ac:dyDescent="0.4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x14ac:dyDescent="0.4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x14ac:dyDescent="0.4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8.600000000000001" thickBot="1" x14ac:dyDescent="0.5">
      <c r="A821" s="10" t="s">
        <v>588</v>
      </c>
      <c r="B821" s="61"/>
      <c r="C821" s="61"/>
      <c r="D821" s="61"/>
      <c r="E821" s="61"/>
      <c r="F821" s="61"/>
      <c r="G821" s="61"/>
      <c r="H821" s="100" t="s">
        <v>1</v>
      </c>
      <c r="I821" s="100"/>
      <c r="J821" s="3"/>
      <c r="K821" s="3"/>
      <c r="L821" s="3"/>
      <c r="M821" s="3"/>
    </row>
    <row r="822" spans="1:13" x14ac:dyDescent="0.45">
      <c r="A822" s="117" t="s">
        <v>576</v>
      </c>
      <c r="B822" s="118"/>
      <c r="C822" s="118"/>
      <c r="D822" s="118"/>
      <c r="E822" s="119"/>
      <c r="F822" s="120" t="s">
        <v>577</v>
      </c>
      <c r="G822" s="121"/>
      <c r="H822" s="121"/>
      <c r="I822" s="122"/>
      <c r="J822" s="3"/>
      <c r="K822" s="44" t="s">
        <v>590</v>
      </c>
      <c r="L822" s="39">
        <f>損益分岐点!$M$2</f>
        <v>10</v>
      </c>
      <c r="M822" s="3" t="s">
        <v>465</v>
      </c>
    </row>
    <row r="823" spans="1:13" x14ac:dyDescent="0.45">
      <c r="A823" s="123" t="s">
        <v>578</v>
      </c>
      <c r="B823" s="124"/>
      <c r="C823" s="124"/>
      <c r="D823" s="124"/>
      <c r="E823" s="65" t="s">
        <v>0</v>
      </c>
      <c r="F823" s="125" t="s">
        <v>578</v>
      </c>
      <c r="G823" s="124"/>
      <c r="H823" s="124"/>
      <c r="I823" s="65" t="s">
        <v>0</v>
      </c>
      <c r="J823" s="3"/>
      <c r="K823" s="58" t="s">
        <v>589</v>
      </c>
      <c r="L823" s="74">
        <f>$T$5</f>
        <v>3</v>
      </c>
      <c r="M823" s="3" t="s">
        <v>594</v>
      </c>
    </row>
    <row r="824" spans="1:13" ht="18.600000000000001" thickBot="1" x14ac:dyDescent="0.5">
      <c r="A824" s="116" t="s">
        <v>3</v>
      </c>
      <c r="B824" s="115"/>
      <c r="C824" s="115"/>
      <c r="D824" s="115"/>
      <c r="E824" s="67">
        <f>IF(真実の家賃!$L$1=TRUE,計算用1!E823,計算用2!E823)</f>
        <v>0</v>
      </c>
      <c r="F824" s="114" t="s">
        <v>7</v>
      </c>
      <c r="G824" s="115"/>
      <c r="H824" s="115"/>
      <c r="I824" s="70">
        <f>L822*5*L823</f>
        <v>150</v>
      </c>
      <c r="J824" s="3"/>
      <c r="K824" s="73" t="s">
        <v>628</v>
      </c>
      <c r="L824" s="72">
        <v>40</v>
      </c>
      <c r="M824" s="3" t="s">
        <v>468</v>
      </c>
    </row>
    <row r="825" spans="1:13" x14ac:dyDescent="0.45">
      <c r="A825" s="116" t="s">
        <v>6</v>
      </c>
      <c r="B825" s="115"/>
      <c r="C825" s="115"/>
      <c r="D825" s="115"/>
      <c r="E825" s="67">
        <f>IF(真実の家賃!$L$1=TRUE,計算用1!E824,計算用2!E824)</f>
        <v>238.79999999999998</v>
      </c>
      <c r="F825" s="111" t="s">
        <v>579</v>
      </c>
      <c r="G825" s="112"/>
      <c r="H825" s="112"/>
      <c r="I825" s="71">
        <f t="shared" ref="I825" si="380">I824</f>
        <v>150</v>
      </c>
      <c r="J825" s="3"/>
      <c r="K825" s="3"/>
      <c r="L825" s="3"/>
      <c r="M825" s="3"/>
    </row>
    <row r="826" spans="1:13" x14ac:dyDescent="0.45">
      <c r="A826" s="113" t="s">
        <v>579</v>
      </c>
      <c r="B826" s="112"/>
      <c r="C826" s="112"/>
      <c r="D826" s="112"/>
      <c r="E826" s="68">
        <f t="shared" ref="E826" si="381">SUM(E824:E825)</f>
        <v>238.79999999999998</v>
      </c>
      <c r="F826" s="114" t="s">
        <v>583</v>
      </c>
      <c r="G826" s="115"/>
      <c r="H826" s="115"/>
      <c r="I826" s="70">
        <f>L824*12*L822</f>
        <v>4800</v>
      </c>
      <c r="J826" s="3"/>
      <c r="K826" s="3"/>
      <c r="L826" s="3"/>
      <c r="M826" s="3"/>
    </row>
    <row r="827" spans="1:13" x14ac:dyDescent="0.45">
      <c r="A827" s="116" t="s">
        <v>580</v>
      </c>
      <c r="B827" s="115"/>
      <c r="C827" s="115"/>
      <c r="D827" s="115"/>
      <c r="E827" s="67">
        <f>IF(真実の家賃!$L$1=TRUE,計算用1!E826,計算用2!E826)</f>
        <v>4450.9080000000004</v>
      </c>
      <c r="F827" s="114" t="s">
        <v>596</v>
      </c>
      <c r="G827" s="115"/>
      <c r="H827" s="115"/>
      <c r="I827" s="70">
        <f>_xlfn.SWITCH(L824,1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200</v>
      </c>
      <c r="J827" s="3"/>
      <c r="K827" s="3"/>
      <c r="L827" s="3"/>
      <c r="M827" s="3"/>
    </row>
    <row r="828" spans="1:13" x14ac:dyDescent="0.45">
      <c r="A828" s="105" t="s">
        <v>581</v>
      </c>
      <c r="B828" s="106"/>
      <c r="C828" s="106"/>
      <c r="D828" s="106"/>
      <c r="E828" s="67">
        <f>IF(真実の家賃!$L$1=TRUE,計算用1!E827,計算用2!E827)</f>
        <v>600</v>
      </c>
      <c r="F828" s="111" t="s">
        <v>582</v>
      </c>
      <c r="G828" s="112"/>
      <c r="H828" s="112"/>
      <c r="I828" s="71">
        <f t="shared" ref="I828" si="382">SUM(I826:I827)</f>
        <v>5000</v>
      </c>
      <c r="J828" s="3"/>
      <c r="K828" s="3"/>
      <c r="L828" s="3"/>
      <c r="M828" s="3"/>
    </row>
    <row r="829" spans="1:13" x14ac:dyDescent="0.45">
      <c r="A829" s="116" t="s">
        <v>9</v>
      </c>
      <c r="B829" s="115"/>
      <c r="C829" s="115"/>
      <c r="D829" s="115"/>
      <c r="E829" s="67">
        <f>IF(真実の家賃!$L$1=TRUE,計算用1!E828,計算用2!E828)</f>
        <v>-295.74127519999996</v>
      </c>
      <c r="F829" s="110" t="s">
        <v>585</v>
      </c>
      <c r="G829" s="106"/>
      <c r="H829" s="106"/>
      <c r="I829" s="70">
        <f t="shared" ref="I829" si="383">15*L823</f>
        <v>45</v>
      </c>
      <c r="J829" s="3"/>
      <c r="K829" s="3"/>
      <c r="L829" s="3"/>
      <c r="M829" s="3"/>
    </row>
    <row r="830" spans="1:13" x14ac:dyDescent="0.45">
      <c r="A830" s="105" t="s">
        <v>10</v>
      </c>
      <c r="B830" s="106"/>
      <c r="C830" s="106"/>
      <c r="D830" s="106"/>
      <c r="E830" s="67">
        <f>IF(真実の家賃!$L$1=TRUE,計算用1!E829,計算用2!E829)</f>
        <v>0</v>
      </c>
      <c r="F830" s="109" t="s">
        <v>586</v>
      </c>
      <c r="G830" s="108"/>
      <c r="H830" s="108"/>
      <c r="I830" s="71">
        <f t="shared" ref="I830" si="384">I829</f>
        <v>45</v>
      </c>
      <c r="J830" s="3"/>
      <c r="K830" s="3"/>
      <c r="L830" s="3"/>
      <c r="M830" s="3"/>
    </row>
    <row r="831" spans="1:13" ht="18.600000000000001" thickBot="1" x14ac:dyDescent="0.5">
      <c r="A831" s="113" t="s">
        <v>582</v>
      </c>
      <c r="B831" s="112"/>
      <c r="C831" s="112"/>
      <c r="D831" s="112"/>
      <c r="E831" s="68">
        <f t="shared" ref="E831" si="385">E827+E828+E829+E830</f>
        <v>4755.1667248000003</v>
      </c>
      <c r="F831" s="103" t="s">
        <v>587</v>
      </c>
      <c r="G831" s="104"/>
      <c r="H831" s="104"/>
      <c r="I831" s="66">
        <f t="shared" ref="I831" si="386">I825+I828+I830</f>
        <v>5195</v>
      </c>
      <c r="J831" s="3"/>
      <c r="K831" s="3"/>
      <c r="L831" s="3"/>
      <c r="M831" s="3"/>
    </row>
    <row r="832" spans="1:13" x14ac:dyDescent="0.45">
      <c r="A832" s="105" t="s">
        <v>12</v>
      </c>
      <c r="B832" s="106"/>
      <c r="C832" s="106"/>
      <c r="D832" s="106"/>
      <c r="E832" s="67">
        <f>IF(真実の家賃!$L$1=TRUE,計算用1!E831,計算用2!E831)</f>
        <v>0</v>
      </c>
      <c r="F832" s="3"/>
      <c r="G832" s="3"/>
      <c r="H832" s="3"/>
      <c r="I832" s="3"/>
      <c r="J832" s="3"/>
      <c r="K832" s="3"/>
      <c r="L832" s="3"/>
      <c r="M832" s="3"/>
    </row>
    <row r="833" spans="1:13" x14ac:dyDescent="0.45">
      <c r="A833" s="105" t="s">
        <v>584</v>
      </c>
      <c r="B833" s="106"/>
      <c r="C833" s="106"/>
      <c r="D833" s="106"/>
      <c r="E833" s="67">
        <f>IF(真実の家賃!$L$1=TRUE,計算用1!E832,計算用2!E832)</f>
        <v>125.37</v>
      </c>
      <c r="F833" s="3"/>
      <c r="G833" s="3"/>
      <c r="H833" s="3"/>
      <c r="I833" s="3"/>
      <c r="J833" s="3"/>
      <c r="K833" s="3"/>
      <c r="L833" s="3"/>
      <c r="M833" s="3"/>
    </row>
    <row r="834" spans="1:13" x14ac:dyDescent="0.45">
      <c r="A834" s="105" t="s">
        <v>585</v>
      </c>
      <c r="B834" s="106"/>
      <c r="C834" s="106"/>
      <c r="D834" s="106"/>
      <c r="E834" s="67">
        <f>$T$8</f>
        <v>15</v>
      </c>
      <c r="F834" s="3"/>
      <c r="G834" s="3"/>
      <c r="H834" s="3"/>
      <c r="I834" s="3"/>
      <c r="J834" s="3"/>
      <c r="K834" s="3"/>
      <c r="L834" s="3"/>
      <c r="M834" s="3"/>
    </row>
    <row r="835" spans="1:13" x14ac:dyDescent="0.45">
      <c r="A835" s="107" t="s">
        <v>586</v>
      </c>
      <c r="B835" s="108"/>
      <c r="C835" s="108"/>
      <c r="D835" s="108"/>
      <c r="E835" s="68">
        <f t="shared" ref="E835" si="387">SUM(E832:E834)</f>
        <v>140.37</v>
      </c>
      <c r="F835" s="3"/>
      <c r="G835" s="3"/>
      <c r="H835" s="3"/>
      <c r="I835" s="3"/>
      <c r="J835" s="3"/>
      <c r="K835" s="3"/>
      <c r="L835" s="3"/>
      <c r="M835" s="3"/>
    </row>
    <row r="836" spans="1:13" ht="18.600000000000001" thickBot="1" x14ac:dyDescent="0.5">
      <c r="A836" s="101" t="s">
        <v>587</v>
      </c>
      <c r="B836" s="102"/>
      <c r="C836" s="102"/>
      <c r="D836" s="102"/>
      <c r="E836" s="69">
        <f t="shared" ref="E836" si="388">E826+E831+E835</f>
        <v>5134.3367248000004</v>
      </c>
      <c r="F836" s="3"/>
      <c r="G836" s="3"/>
      <c r="H836" s="3"/>
      <c r="I836" s="3"/>
      <c r="J836" s="3"/>
      <c r="K836" s="3"/>
      <c r="L836" s="3"/>
      <c r="M836" s="3"/>
    </row>
    <row r="837" spans="1:13" x14ac:dyDescent="0.4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x14ac:dyDescent="0.4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x14ac:dyDescent="0.4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x14ac:dyDescent="0.4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x14ac:dyDescent="0.4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8.600000000000001" thickBot="1" x14ac:dyDescent="0.5">
      <c r="A842" s="10" t="s">
        <v>588</v>
      </c>
      <c r="B842" s="61"/>
      <c r="C842" s="61"/>
      <c r="D842" s="61"/>
      <c r="E842" s="61"/>
      <c r="F842" s="61"/>
      <c r="G842" s="61"/>
      <c r="H842" s="100" t="s">
        <v>1</v>
      </c>
      <c r="I842" s="100"/>
      <c r="J842" s="3"/>
      <c r="K842" s="3"/>
      <c r="L842" s="3"/>
      <c r="M842" s="3"/>
    </row>
    <row r="843" spans="1:13" x14ac:dyDescent="0.45">
      <c r="A843" s="117" t="s">
        <v>576</v>
      </c>
      <c r="B843" s="118"/>
      <c r="C843" s="118"/>
      <c r="D843" s="118"/>
      <c r="E843" s="119"/>
      <c r="F843" s="120" t="s">
        <v>577</v>
      </c>
      <c r="G843" s="121"/>
      <c r="H843" s="121"/>
      <c r="I843" s="122"/>
      <c r="J843" s="3"/>
      <c r="K843" s="44" t="s">
        <v>590</v>
      </c>
      <c r="L843" s="39">
        <f>損益分岐点!$M$2</f>
        <v>10</v>
      </c>
      <c r="M843" s="3" t="s">
        <v>465</v>
      </c>
    </row>
    <row r="844" spans="1:13" x14ac:dyDescent="0.45">
      <c r="A844" s="123" t="s">
        <v>578</v>
      </c>
      <c r="B844" s="124"/>
      <c r="C844" s="124"/>
      <c r="D844" s="124"/>
      <c r="E844" s="65" t="s">
        <v>0</v>
      </c>
      <c r="F844" s="125" t="s">
        <v>578</v>
      </c>
      <c r="G844" s="124"/>
      <c r="H844" s="124"/>
      <c r="I844" s="65" t="s">
        <v>0</v>
      </c>
      <c r="J844" s="3"/>
      <c r="K844" s="58" t="s">
        <v>589</v>
      </c>
      <c r="L844" s="74">
        <f>$T$5</f>
        <v>3</v>
      </c>
      <c r="M844" s="3" t="s">
        <v>594</v>
      </c>
    </row>
    <row r="845" spans="1:13" ht="18.600000000000001" thickBot="1" x14ac:dyDescent="0.5">
      <c r="A845" s="116" t="s">
        <v>3</v>
      </c>
      <c r="B845" s="115"/>
      <c r="C845" s="115"/>
      <c r="D845" s="115"/>
      <c r="E845" s="67">
        <f>IF(真実の家賃!$L$1=TRUE,計算用1!E844,計算用2!E844)</f>
        <v>0</v>
      </c>
      <c r="F845" s="114" t="s">
        <v>7</v>
      </c>
      <c r="G845" s="115"/>
      <c r="H845" s="115"/>
      <c r="I845" s="70">
        <f t="shared" ref="I845" si="389">L843*5*L844</f>
        <v>150</v>
      </c>
      <c r="J845" s="3"/>
      <c r="K845" s="73" t="s">
        <v>628</v>
      </c>
      <c r="L845" s="72">
        <v>41</v>
      </c>
      <c r="M845" s="3" t="s">
        <v>468</v>
      </c>
    </row>
    <row r="846" spans="1:13" x14ac:dyDescent="0.45">
      <c r="A846" s="116" t="s">
        <v>6</v>
      </c>
      <c r="B846" s="115"/>
      <c r="C846" s="115"/>
      <c r="D846" s="115"/>
      <c r="E846" s="67">
        <f>IF(真実の家賃!$L$1=TRUE,計算用1!E845,計算用2!E845)</f>
        <v>238.79999999999998</v>
      </c>
      <c r="F846" s="111" t="s">
        <v>579</v>
      </c>
      <c r="G846" s="112"/>
      <c r="H846" s="112"/>
      <c r="I846" s="71">
        <f t="shared" ref="I846" si="390">I845</f>
        <v>150</v>
      </c>
      <c r="J846" s="3"/>
      <c r="K846" s="3"/>
      <c r="L846" s="3"/>
      <c r="M846" s="3"/>
    </row>
    <row r="847" spans="1:13" x14ac:dyDescent="0.45">
      <c r="A847" s="113" t="s">
        <v>579</v>
      </c>
      <c r="B847" s="112"/>
      <c r="C847" s="112"/>
      <c r="D847" s="112"/>
      <c r="E847" s="68">
        <f t="shared" ref="E847" si="391">SUM(E845:E846)</f>
        <v>238.79999999999998</v>
      </c>
      <c r="F847" s="114" t="s">
        <v>583</v>
      </c>
      <c r="G847" s="115"/>
      <c r="H847" s="115"/>
      <c r="I847" s="70">
        <f t="shared" ref="I847" si="392">L845*12*L843</f>
        <v>4920</v>
      </c>
      <c r="J847" s="3"/>
      <c r="K847" s="3"/>
      <c r="L847" s="3"/>
      <c r="M847" s="3"/>
    </row>
    <row r="848" spans="1:13" x14ac:dyDescent="0.45">
      <c r="A848" s="116" t="s">
        <v>580</v>
      </c>
      <c r="B848" s="115"/>
      <c r="C848" s="115"/>
      <c r="D848" s="115"/>
      <c r="E848" s="67">
        <f>IF(真実の家賃!$L$1=TRUE,計算用1!E847,計算用2!E847)</f>
        <v>4450.9080000000004</v>
      </c>
      <c r="F848" s="114" t="s">
        <v>596</v>
      </c>
      <c r="G848" s="115"/>
      <c r="H848" s="115"/>
      <c r="I848" s="70">
        <f>_xlfn.SWITCH(L845,1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200</v>
      </c>
      <c r="J848" s="3"/>
      <c r="K848" s="3"/>
      <c r="L848" s="3"/>
      <c r="M848" s="3"/>
    </row>
    <row r="849" spans="1:13" x14ac:dyDescent="0.45">
      <c r="A849" s="105" t="s">
        <v>581</v>
      </c>
      <c r="B849" s="106"/>
      <c r="C849" s="106"/>
      <c r="D849" s="106"/>
      <c r="E849" s="67">
        <f>IF(真実の家賃!$L$1=TRUE,計算用1!E848,計算用2!E848)</f>
        <v>615</v>
      </c>
      <c r="F849" s="111" t="s">
        <v>582</v>
      </c>
      <c r="G849" s="112"/>
      <c r="H849" s="112"/>
      <c r="I849" s="71">
        <f t="shared" ref="I849" si="393">SUM(I847:I848)</f>
        <v>5120</v>
      </c>
      <c r="J849" s="3"/>
      <c r="K849" s="3"/>
      <c r="L849" s="3"/>
      <c r="M849" s="3"/>
    </row>
    <row r="850" spans="1:13" x14ac:dyDescent="0.45">
      <c r="A850" s="116" t="s">
        <v>9</v>
      </c>
      <c r="B850" s="115"/>
      <c r="C850" s="115"/>
      <c r="D850" s="115"/>
      <c r="E850" s="67">
        <f>IF(真実の家賃!$L$1=TRUE,計算用1!E849,計算用2!E849)</f>
        <v>-295.74127519999996</v>
      </c>
      <c r="F850" s="110" t="s">
        <v>585</v>
      </c>
      <c r="G850" s="106"/>
      <c r="H850" s="106"/>
      <c r="I850" s="70">
        <f t="shared" ref="I850" si="394">15*L844</f>
        <v>45</v>
      </c>
      <c r="J850" s="3"/>
      <c r="K850" s="3"/>
      <c r="L850" s="3"/>
      <c r="M850" s="3"/>
    </row>
    <row r="851" spans="1:13" x14ac:dyDescent="0.45">
      <c r="A851" s="105" t="s">
        <v>10</v>
      </c>
      <c r="B851" s="106"/>
      <c r="C851" s="106"/>
      <c r="D851" s="106"/>
      <c r="E851" s="67">
        <f>IF(真実の家賃!$L$1=TRUE,計算用1!E850,計算用2!E850)</f>
        <v>0</v>
      </c>
      <c r="F851" s="109" t="s">
        <v>586</v>
      </c>
      <c r="G851" s="108"/>
      <c r="H851" s="108"/>
      <c r="I851" s="71">
        <f t="shared" ref="I851" si="395">I850</f>
        <v>45</v>
      </c>
      <c r="J851" s="3"/>
      <c r="K851" s="3"/>
      <c r="L851" s="3"/>
      <c r="M851" s="3"/>
    </row>
    <row r="852" spans="1:13" ht="18.600000000000001" thickBot="1" x14ac:dyDescent="0.5">
      <c r="A852" s="113" t="s">
        <v>582</v>
      </c>
      <c r="B852" s="112"/>
      <c r="C852" s="112"/>
      <c r="D852" s="112"/>
      <c r="E852" s="68">
        <f t="shared" ref="E852" si="396">E848+E849+E850+E851</f>
        <v>4770.1667248000003</v>
      </c>
      <c r="F852" s="103" t="s">
        <v>587</v>
      </c>
      <c r="G852" s="104"/>
      <c r="H852" s="104"/>
      <c r="I852" s="66">
        <f t="shared" ref="I852" si="397">I846+I849+I851</f>
        <v>5315</v>
      </c>
      <c r="J852" s="3"/>
      <c r="K852" s="3"/>
      <c r="L852" s="3"/>
      <c r="M852" s="3"/>
    </row>
    <row r="853" spans="1:13" x14ac:dyDescent="0.45">
      <c r="A853" s="105" t="s">
        <v>12</v>
      </c>
      <c r="B853" s="106"/>
      <c r="C853" s="106"/>
      <c r="D853" s="106"/>
      <c r="E853" s="67">
        <f>IF(真実の家賃!$L$1=TRUE,計算用1!E852,計算用2!E852)</f>
        <v>0</v>
      </c>
      <c r="F853" s="3"/>
      <c r="G853" s="3"/>
      <c r="H853" s="3"/>
      <c r="I853" s="3"/>
      <c r="J853" s="3"/>
      <c r="K853" s="3"/>
      <c r="L853" s="3"/>
      <c r="M853" s="3"/>
    </row>
    <row r="854" spans="1:13" x14ac:dyDescent="0.45">
      <c r="A854" s="105" t="s">
        <v>584</v>
      </c>
      <c r="B854" s="106"/>
      <c r="C854" s="106"/>
      <c r="D854" s="106"/>
      <c r="E854" s="67">
        <f>IF(真実の家賃!$L$1=TRUE,計算用1!E853,計算用2!E853)</f>
        <v>125.37</v>
      </c>
      <c r="F854" s="3"/>
      <c r="G854" s="3"/>
      <c r="H854" s="3"/>
      <c r="I854" s="3"/>
      <c r="J854" s="3"/>
      <c r="K854" s="3"/>
      <c r="L854" s="3"/>
      <c r="M854" s="3"/>
    </row>
    <row r="855" spans="1:13" x14ac:dyDescent="0.45">
      <c r="A855" s="105" t="s">
        <v>585</v>
      </c>
      <c r="B855" s="106"/>
      <c r="C855" s="106"/>
      <c r="D855" s="106"/>
      <c r="E855" s="67">
        <f>$T$8</f>
        <v>15</v>
      </c>
      <c r="F855" s="3"/>
      <c r="G855" s="3"/>
      <c r="H855" s="3"/>
      <c r="I855" s="3"/>
      <c r="J855" s="3"/>
      <c r="K855" s="3"/>
      <c r="L855" s="3"/>
      <c r="M855" s="3"/>
    </row>
    <row r="856" spans="1:13" x14ac:dyDescent="0.45">
      <c r="A856" s="107" t="s">
        <v>586</v>
      </c>
      <c r="B856" s="108"/>
      <c r="C856" s="108"/>
      <c r="D856" s="108"/>
      <c r="E856" s="68">
        <f t="shared" ref="E856" si="398">SUM(E853:E855)</f>
        <v>140.37</v>
      </c>
      <c r="F856" s="3"/>
      <c r="G856" s="3"/>
      <c r="H856" s="3"/>
      <c r="I856" s="3"/>
      <c r="J856" s="3"/>
      <c r="K856" s="3"/>
      <c r="L856" s="3"/>
      <c r="M856" s="3"/>
    </row>
    <row r="857" spans="1:13" ht="18.600000000000001" thickBot="1" x14ac:dyDescent="0.5">
      <c r="A857" s="101" t="s">
        <v>587</v>
      </c>
      <c r="B857" s="102"/>
      <c r="C857" s="102"/>
      <c r="D857" s="102"/>
      <c r="E857" s="69">
        <f t="shared" ref="E857" si="399">E847+E852+E856</f>
        <v>5149.3367248000004</v>
      </c>
      <c r="F857" s="3"/>
      <c r="G857" s="3"/>
      <c r="H857" s="3"/>
      <c r="I857" s="3"/>
      <c r="J857" s="3"/>
      <c r="K857" s="3"/>
      <c r="L857" s="3"/>
      <c r="M857" s="3"/>
    </row>
    <row r="858" spans="1:13" x14ac:dyDescent="0.4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x14ac:dyDescent="0.4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x14ac:dyDescent="0.4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x14ac:dyDescent="0.4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x14ac:dyDescent="0.4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8.600000000000001" thickBot="1" x14ac:dyDescent="0.5">
      <c r="A863" s="10" t="s">
        <v>588</v>
      </c>
      <c r="B863" s="61"/>
      <c r="C863" s="61"/>
      <c r="D863" s="61"/>
      <c r="E863" s="61"/>
      <c r="F863" s="61"/>
      <c r="G863" s="61"/>
      <c r="H863" s="100" t="s">
        <v>1</v>
      </c>
      <c r="I863" s="100"/>
      <c r="J863" s="3"/>
      <c r="K863" s="3"/>
      <c r="L863" s="3"/>
      <c r="M863" s="3"/>
    </row>
    <row r="864" spans="1:13" x14ac:dyDescent="0.45">
      <c r="A864" s="117" t="s">
        <v>576</v>
      </c>
      <c r="B864" s="118"/>
      <c r="C864" s="118"/>
      <c r="D864" s="118"/>
      <c r="E864" s="119"/>
      <c r="F864" s="120" t="s">
        <v>577</v>
      </c>
      <c r="G864" s="121"/>
      <c r="H864" s="121"/>
      <c r="I864" s="122"/>
      <c r="J864" s="3"/>
      <c r="K864" s="44" t="s">
        <v>590</v>
      </c>
      <c r="L864" s="39">
        <f>損益分岐点!$M$2</f>
        <v>10</v>
      </c>
      <c r="M864" s="3" t="s">
        <v>465</v>
      </c>
    </row>
    <row r="865" spans="1:13" x14ac:dyDescent="0.45">
      <c r="A865" s="123" t="s">
        <v>578</v>
      </c>
      <c r="B865" s="124"/>
      <c r="C865" s="124"/>
      <c r="D865" s="124"/>
      <c r="E865" s="65" t="s">
        <v>0</v>
      </c>
      <c r="F865" s="125" t="s">
        <v>578</v>
      </c>
      <c r="G865" s="124"/>
      <c r="H865" s="124"/>
      <c r="I865" s="65" t="s">
        <v>0</v>
      </c>
      <c r="J865" s="3"/>
      <c r="K865" s="58" t="s">
        <v>589</v>
      </c>
      <c r="L865" s="74">
        <f>$T$5</f>
        <v>3</v>
      </c>
      <c r="M865" s="3" t="s">
        <v>594</v>
      </c>
    </row>
    <row r="866" spans="1:13" ht="18.600000000000001" thickBot="1" x14ac:dyDescent="0.5">
      <c r="A866" s="116" t="s">
        <v>3</v>
      </c>
      <c r="B866" s="115"/>
      <c r="C866" s="115"/>
      <c r="D866" s="115"/>
      <c r="E866" s="67">
        <f>IF(真実の家賃!$L$1=TRUE,計算用1!E865,計算用2!E865)</f>
        <v>0</v>
      </c>
      <c r="F866" s="114" t="s">
        <v>7</v>
      </c>
      <c r="G866" s="115"/>
      <c r="H866" s="115"/>
      <c r="I866" s="70">
        <f t="shared" ref="I866" si="400">L864*5*L865</f>
        <v>150</v>
      </c>
      <c r="J866" s="3"/>
      <c r="K866" s="73" t="s">
        <v>628</v>
      </c>
      <c r="L866" s="72">
        <v>42</v>
      </c>
      <c r="M866" s="3" t="s">
        <v>468</v>
      </c>
    </row>
    <row r="867" spans="1:13" x14ac:dyDescent="0.45">
      <c r="A867" s="116" t="s">
        <v>6</v>
      </c>
      <c r="B867" s="115"/>
      <c r="C867" s="115"/>
      <c r="D867" s="115"/>
      <c r="E867" s="67">
        <f>IF(真実の家賃!$L$1=TRUE,計算用1!E866,計算用2!E866)</f>
        <v>238.79999999999998</v>
      </c>
      <c r="F867" s="111" t="s">
        <v>579</v>
      </c>
      <c r="G867" s="112"/>
      <c r="H867" s="112"/>
      <c r="I867" s="71">
        <f t="shared" ref="I867" si="401">I866</f>
        <v>150</v>
      </c>
      <c r="J867" s="3"/>
      <c r="K867" s="3"/>
      <c r="L867" s="3"/>
      <c r="M867" s="3"/>
    </row>
    <row r="868" spans="1:13" x14ac:dyDescent="0.45">
      <c r="A868" s="113" t="s">
        <v>579</v>
      </c>
      <c r="B868" s="112"/>
      <c r="C868" s="112"/>
      <c r="D868" s="112"/>
      <c r="E868" s="68">
        <f t="shared" ref="E868" si="402">SUM(E866:E867)</f>
        <v>238.79999999999998</v>
      </c>
      <c r="F868" s="114" t="s">
        <v>583</v>
      </c>
      <c r="G868" s="115"/>
      <c r="H868" s="115"/>
      <c r="I868" s="70">
        <f t="shared" ref="I868" si="403">L866*12*L864</f>
        <v>5040</v>
      </c>
      <c r="J868" s="3"/>
      <c r="K868" s="3"/>
      <c r="L868" s="3"/>
      <c r="M868" s="3"/>
    </row>
    <row r="869" spans="1:13" x14ac:dyDescent="0.45">
      <c r="A869" s="116" t="s">
        <v>580</v>
      </c>
      <c r="B869" s="115"/>
      <c r="C869" s="115"/>
      <c r="D869" s="115"/>
      <c r="E869" s="67">
        <f>IF(真実の家賃!$L$1=TRUE,計算用1!E868,計算用2!E868)</f>
        <v>4450.9080000000004</v>
      </c>
      <c r="F869" s="114" t="s">
        <v>596</v>
      </c>
      <c r="G869" s="115"/>
      <c r="H869" s="115"/>
      <c r="I869" s="70">
        <f>_xlfn.SWITCH(L866,1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210</v>
      </c>
      <c r="J869" s="3"/>
      <c r="K869" s="3"/>
      <c r="L869" s="3"/>
      <c r="M869" s="3"/>
    </row>
    <row r="870" spans="1:13" x14ac:dyDescent="0.45">
      <c r="A870" s="105" t="s">
        <v>581</v>
      </c>
      <c r="B870" s="106"/>
      <c r="C870" s="106"/>
      <c r="D870" s="106"/>
      <c r="E870" s="67">
        <f>IF(真実の家賃!$L$1=TRUE,計算用1!E869,計算用2!E869)</f>
        <v>630</v>
      </c>
      <c r="F870" s="111" t="s">
        <v>582</v>
      </c>
      <c r="G870" s="112"/>
      <c r="H870" s="112"/>
      <c r="I870" s="71">
        <f t="shared" ref="I870" si="404">SUM(I868:I869)</f>
        <v>5250</v>
      </c>
      <c r="J870" s="3"/>
      <c r="K870" s="3"/>
      <c r="L870" s="3"/>
      <c r="M870" s="3"/>
    </row>
    <row r="871" spans="1:13" x14ac:dyDescent="0.45">
      <c r="A871" s="116" t="s">
        <v>9</v>
      </c>
      <c r="B871" s="115"/>
      <c r="C871" s="115"/>
      <c r="D871" s="115"/>
      <c r="E871" s="67">
        <f>IF(真実の家賃!$L$1=TRUE,計算用1!E870,計算用2!E870)</f>
        <v>-295.74127519999996</v>
      </c>
      <c r="F871" s="110" t="s">
        <v>585</v>
      </c>
      <c r="G871" s="106"/>
      <c r="H871" s="106"/>
      <c r="I871" s="70">
        <f t="shared" ref="I871" si="405">15*L865</f>
        <v>45</v>
      </c>
      <c r="J871" s="3"/>
      <c r="K871" s="3"/>
      <c r="L871" s="3"/>
      <c r="M871" s="3"/>
    </row>
    <row r="872" spans="1:13" x14ac:dyDescent="0.45">
      <c r="A872" s="105" t="s">
        <v>10</v>
      </c>
      <c r="B872" s="106"/>
      <c r="C872" s="106"/>
      <c r="D872" s="106"/>
      <c r="E872" s="67">
        <f>IF(真実の家賃!$L$1=TRUE,計算用1!E871,計算用2!E871)</f>
        <v>0</v>
      </c>
      <c r="F872" s="109" t="s">
        <v>586</v>
      </c>
      <c r="G872" s="108"/>
      <c r="H872" s="108"/>
      <c r="I872" s="71">
        <f t="shared" ref="I872" si="406">I871</f>
        <v>45</v>
      </c>
      <c r="J872" s="3"/>
      <c r="K872" s="3"/>
      <c r="L872" s="3"/>
      <c r="M872" s="3"/>
    </row>
    <row r="873" spans="1:13" ht="18.600000000000001" thickBot="1" x14ac:dyDescent="0.5">
      <c r="A873" s="113" t="s">
        <v>582</v>
      </c>
      <c r="B873" s="112"/>
      <c r="C873" s="112"/>
      <c r="D873" s="112"/>
      <c r="E873" s="68">
        <f t="shared" ref="E873" si="407">E869+E870+E871+E872</f>
        <v>4785.1667248000003</v>
      </c>
      <c r="F873" s="103" t="s">
        <v>587</v>
      </c>
      <c r="G873" s="104"/>
      <c r="H873" s="104"/>
      <c r="I873" s="66">
        <f t="shared" ref="I873" si="408">I867+I870+I872</f>
        <v>5445</v>
      </c>
      <c r="J873" s="3"/>
      <c r="K873" s="3"/>
      <c r="L873" s="3"/>
      <c r="M873" s="3"/>
    </row>
    <row r="874" spans="1:13" x14ac:dyDescent="0.45">
      <c r="A874" s="105" t="s">
        <v>12</v>
      </c>
      <c r="B874" s="106"/>
      <c r="C874" s="106"/>
      <c r="D874" s="106"/>
      <c r="E874" s="67">
        <f>IF(真実の家賃!$L$1=TRUE,計算用1!E873,計算用2!E873)</f>
        <v>0</v>
      </c>
      <c r="F874" s="3"/>
      <c r="G874" s="3"/>
      <c r="H874" s="3"/>
      <c r="I874" s="3"/>
      <c r="J874" s="3"/>
      <c r="K874" s="3"/>
      <c r="L874" s="3"/>
      <c r="M874" s="3"/>
    </row>
    <row r="875" spans="1:13" x14ac:dyDescent="0.45">
      <c r="A875" s="105" t="s">
        <v>584</v>
      </c>
      <c r="B875" s="106"/>
      <c r="C875" s="106"/>
      <c r="D875" s="106"/>
      <c r="E875" s="67">
        <f>IF(真実の家賃!$L$1=TRUE,計算用1!E874,計算用2!E874)</f>
        <v>125.37</v>
      </c>
      <c r="F875" s="3"/>
      <c r="G875" s="3"/>
      <c r="H875" s="3"/>
      <c r="I875" s="3"/>
      <c r="J875" s="3"/>
      <c r="K875" s="3"/>
      <c r="L875" s="3"/>
      <c r="M875" s="3"/>
    </row>
    <row r="876" spans="1:13" x14ac:dyDescent="0.45">
      <c r="A876" s="105" t="s">
        <v>585</v>
      </c>
      <c r="B876" s="106"/>
      <c r="C876" s="106"/>
      <c r="D876" s="106"/>
      <c r="E876" s="67">
        <f>$T$8</f>
        <v>15</v>
      </c>
      <c r="F876" s="3"/>
      <c r="G876" s="3"/>
      <c r="H876" s="3"/>
      <c r="I876" s="3"/>
      <c r="J876" s="3"/>
      <c r="K876" s="3"/>
      <c r="L876" s="3"/>
      <c r="M876" s="3"/>
    </row>
    <row r="877" spans="1:13" x14ac:dyDescent="0.45">
      <c r="A877" s="107" t="s">
        <v>586</v>
      </c>
      <c r="B877" s="108"/>
      <c r="C877" s="108"/>
      <c r="D877" s="108"/>
      <c r="E877" s="68">
        <f t="shared" ref="E877" si="409">SUM(E874:E876)</f>
        <v>140.37</v>
      </c>
      <c r="F877" s="3"/>
      <c r="G877" s="3"/>
      <c r="H877" s="3"/>
      <c r="I877" s="3"/>
      <c r="J877" s="3"/>
      <c r="K877" s="3"/>
      <c r="L877" s="3"/>
      <c r="M877" s="3"/>
    </row>
    <row r="878" spans="1:13" ht="18.600000000000001" thickBot="1" x14ac:dyDescent="0.5">
      <c r="A878" s="101" t="s">
        <v>587</v>
      </c>
      <c r="B878" s="102"/>
      <c r="C878" s="102"/>
      <c r="D878" s="102"/>
      <c r="E878" s="69">
        <f t="shared" ref="E878" si="410">E868+E873+E877</f>
        <v>5164.3367248000004</v>
      </c>
      <c r="F878" s="3"/>
      <c r="G878" s="3"/>
      <c r="H878" s="3"/>
      <c r="I878" s="3"/>
      <c r="J878" s="3"/>
      <c r="K878" s="3"/>
      <c r="L878" s="3"/>
      <c r="M878" s="3"/>
    </row>
    <row r="879" spans="1:13" x14ac:dyDescent="0.4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x14ac:dyDescent="0.4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x14ac:dyDescent="0.4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x14ac:dyDescent="0.4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x14ac:dyDescent="0.4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8.600000000000001" thickBot="1" x14ac:dyDescent="0.5">
      <c r="A884" s="10" t="s">
        <v>588</v>
      </c>
      <c r="B884" s="61"/>
      <c r="C884" s="61"/>
      <c r="D884" s="61"/>
      <c r="E884" s="61"/>
      <c r="F884" s="61"/>
      <c r="G884" s="61"/>
      <c r="H884" s="100" t="s">
        <v>1</v>
      </c>
      <c r="I884" s="100"/>
      <c r="J884" s="3"/>
      <c r="K884" s="3"/>
      <c r="L884" s="3"/>
      <c r="M884" s="3"/>
    </row>
    <row r="885" spans="1:13" x14ac:dyDescent="0.45">
      <c r="A885" s="117" t="s">
        <v>576</v>
      </c>
      <c r="B885" s="118"/>
      <c r="C885" s="118"/>
      <c r="D885" s="118"/>
      <c r="E885" s="119"/>
      <c r="F885" s="120" t="s">
        <v>577</v>
      </c>
      <c r="G885" s="121"/>
      <c r="H885" s="121"/>
      <c r="I885" s="122"/>
      <c r="J885" s="3"/>
      <c r="K885" s="44" t="s">
        <v>590</v>
      </c>
      <c r="L885" s="39">
        <f>損益分岐点!$M$2</f>
        <v>10</v>
      </c>
      <c r="M885" s="3" t="s">
        <v>465</v>
      </c>
    </row>
    <row r="886" spans="1:13" x14ac:dyDescent="0.45">
      <c r="A886" s="123" t="s">
        <v>578</v>
      </c>
      <c r="B886" s="124"/>
      <c r="C886" s="124"/>
      <c r="D886" s="124"/>
      <c r="E886" s="65" t="s">
        <v>0</v>
      </c>
      <c r="F886" s="125" t="s">
        <v>578</v>
      </c>
      <c r="G886" s="124"/>
      <c r="H886" s="124"/>
      <c r="I886" s="65" t="s">
        <v>0</v>
      </c>
      <c r="J886" s="3"/>
      <c r="K886" s="58" t="s">
        <v>589</v>
      </c>
      <c r="L886" s="74">
        <f>$T$5</f>
        <v>3</v>
      </c>
      <c r="M886" s="3" t="s">
        <v>594</v>
      </c>
    </row>
    <row r="887" spans="1:13" ht="18.600000000000001" thickBot="1" x14ac:dyDescent="0.5">
      <c r="A887" s="116" t="s">
        <v>3</v>
      </c>
      <c r="B887" s="115"/>
      <c r="C887" s="115"/>
      <c r="D887" s="115"/>
      <c r="E887" s="67">
        <f>IF(真実の家賃!$L$1=TRUE,計算用1!E886,計算用2!E886)</f>
        <v>0</v>
      </c>
      <c r="F887" s="114" t="s">
        <v>7</v>
      </c>
      <c r="G887" s="115"/>
      <c r="H887" s="115"/>
      <c r="I887" s="70">
        <f t="shared" ref="I887" si="411">L885*5*L886</f>
        <v>150</v>
      </c>
      <c r="J887" s="3"/>
      <c r="K887" s="73" t="s">
        <v>628</v>
      </c>
      <c r="L887" s="72">
        <v>43</v>
      </c>
      <c r="M887" s="3" t="s">
        <v>468</v>
      </c>
    </row>
    <row r="888" spans="1:13" x14ac:dyDescent="0.45">
      <c r="A888" s="116" t="s">
        <v>6</v>
      </c>
      <c r="B888" s="115"/>
      <c r="C888" s="115"/>
      <c r="D888" s="115"/>
      <c r="E888" s="67">
        <f>IF(真実の家賃!$L$1=TRUE,計算用1!E887,計算用2!E887)</f>
        <v>238.79999999999998</v>
      </c>
      <c r="F888" s="111" t="s">
        <v>579</v>
      </c>
      <c r="G888" s="112"/>
      <c r="H888" s="112"/>
      <c r="I888" s="71">
        <f t="shared" ref="I888" si="412">I887</f>
        <v>150</v>
      </c>
      <c r="J888" s="3"/>
      <c r="K888" s="3"/>
      <c r="L888" s="3"/>
      <c r="M888" s="3"/>
    </row>
    <row r="889" spans="1:13" x14ac:dyDescent="0.45">
      <c r="A889" s="113" t="s">
        <v>579</v>
      </c>
      <c r="B889" s="112"/>
      <c r="C889" s="112"/>
      <c r="D889" s="112"/>
      <c r="E889" s="68">
        <f t="shared" ref="E889" si="413">SUM(E887:E888)</f>
        <v>238.79999999999998</v>
      </c>
      <c r="F889" s="114" t="s">
        <v>583</v>
      </c>
      <c r="G889" s="115"/>
      <c r="H889" s="115"/>
      <c r="I889" s="70">
        <f t="shared" ref="I889" si="414">L887*12*L885</f>
        <v>5160</v>
      </c>
      <c r="J889" s="3"/>
      <c r="K889" s="3"/>
      <c r="L889" s="3"/>
      <c r="M889" s="3"/>
    </row>
    <row r="890" spans="1:13" x14ac:dyDescent="0.45">
      <c r="A890" s="116" t="s">
        <v>580</v>
      </c>
      <c r="B890" s="115"/>
      <c r="C890" s="115"/>
      <c r="D890" s="115"/>
      <c r="E890" s="67">
        <f>IF(真実の家賃!$L$1=TRUE,計算用1!E889,計算用2!E889)</f>
        <v>4450.9080000000004</v>
      </c>
      <c r="F890" s="114" t="s">
        <v>596</v>
      </c>
      <c r="G890" s="115"/>
      <c r="H890" s="115"/>
      <c r="I890" s="70">
        <f>_xlfn.SWITCH(L887,1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210</v>
      </c>
      <c r="J890" s="3"/>
      <c r="K890" s="3"/>
      <c r="L890" s="3"/>
      <c r="M890" s="3"/>
    </row>
    <row r="891" spans="1:13" x14ac:dyDescent="0.45">
      <c r="A891" s="105" t="s">
        <v>581</v>
      </c>
      <c r="B891" s="106"/>
      <c r="C891" s="106"/>
      <c r="D891" s="106"/>
      <c r="E891" s="67">
        <f>IF(真実の家賃!$L$1=TRUE,計算用1!E890,計算用2!E890)</f>
        <v>645</v>
      </c>
      <c r="F891" s="111" t="s">
        <v>582</v>
      </c>
      <c r="G891" s="112"/>
      <c r="H891" s="112"/>
      <c r="I891" s="71">
        <f t="shared" ref="I891" si="415">SUM(I889:I890)</f>
        <v>5370</v>
      </c>
      <c r="J891" s="3"/>
      <c r="K891" s="3"/>
      <c r="L891" s="3"/>
      <c r="M891" s="3"/>
    </row>
    <row r="892" spans="1:13" x14ac:dyDescent="0.45">
      <c r="A892" s="116" t="s">
        <v>9</v>
      </c>
      <c r="B892" s="115"/>
      <c r="C892" s="115"/>
      <c r="D892" s="115"/>
      <c r="E892" s="67">
        <f>IF(真実の家賃!$L$1=TRUE,計算用1!E891,計算用2!E891)</f>
        <v>-295.74127519999996</v>
      </c>
      <c r="F892" s="110" t="s">
        <v>585</v>
      </c>
      <c r="G892" s="106"/>
      <c r="H892" s="106"/>
      <c r="I892" s="70">
        <f t="shared" ref="I892" si="416">15*L886</f>
        <v>45</v>
      </c>
      <c r="J892" s="3"/>
      <c r="K892" s="3"/>
      <c r="L892" s="3"/>
      <c r="M892" s="3"/>
    </row>
    <row r="893" spans="1:13" x14ac:dyDescent="0.45">
      <c r="A893" s="105" t="s">
        <v>10</v>
      </c>
      <c r="B893" s="106"/>
      <c r="C893" s="106"/>
      <c r="D893" s="106"/>
      <c r="E893" s="67">
        <f>IF(真実の家賃!$L$1=TRUE,計算用1!E892,計算用2!E892)</f>
        <v>0</v>
      </c>
      <c r="F893" s="109" t="s">
        <v>586</v>
      </c>
      <c r="G893" s="108"/>
      <c r="H893" s="108"/>
      <c r="I893" s="71">
        <f t="shared" ref="I893" si="417">I892</f>
        <v>45</v>
      </c>
      <c r="J893" s="3"/>
      <c r="K893" s="3"/>
      <c r="L893" s="3"/>
      <c r="M893" s="3"/>
    </row>
    <row r="894" spans="1:13" ht="18.600000000000001" thickBot="1" x14ac:dyDescent="0.5">
      <c r="A894" s="113" t="s">
        <v>582</v>
      </c>
      <c r="B894" s="112"/>
      <c r="C894" s="112"/>
      <c r="D894" s="112"/>
      <c r="E894" s="68">
        <f t="shared" ref="E894" si="418">E890+E891+E892+E893</f>
        <v>4800.1667248000003</v>
      </c>
      <c r="F894" s="103" t="s">
        <v>587</v>
      </c>
      <c r="G894" s="104"/>
      <c r="H894" s="104"/>
      <c r="I894" s="66">
        <f t="shared" ref="I894" si="419">I888+I891+I893</f>
        <v>5565</v>
      </c>
      <c r="J894" s="3"/>
      <c r="K894" s="3"/>
      <c r="L894" s="3"/>
      <c r="M894" s="3"/>
    </row>
    <row r="895" spans="1:13" x14ac:dyDescent="0.45">
      <c r="A895" s="105" t="s">
        <v>12</v>
      </c>
      <c r="B895" s="106"/>
      <c r="C895" s="106"/>
      <c r="D895" s="106"/>
      <c r="E895" s="67">
        <f>IF(真実の家賃!$L$1=TRUE,計算用1!E894,計算用2!E894)</f>
        <v>0</v>
      </c>
      <c r="F895" s="3"/>
      <c r="G895" s="3"/>
      <c r="H895" s="3"/>
      <c r="I895" s="3"/>
      <c r="J895" s="3"/>
      <c r="K895" s="3"/>
      <c r="L895" s="3"/>
      <c r="M895" s="3"/>
    </row>
    <row r="896" spans="1:13" x14ac:dyDescent="0.45">
      <c r="A896" s="105" t="s">
        <v>584</v>
      </c>
      <c r="B896" s="106"/>
      <c r="C896" s="106"/>
      <c r="D896" s="106"/>
      <c r="E896" s="67">
        <f>IF(真実の家賃!$L$1=TRUE,計算用1!E895,計算用2!E895)</f>
        <v>125.37</v>
      </c>
      <c r="F896" s="3"/>
      <c r="G896" s="3"/>
      <c r="H896" s="3"/>
      <c r="I896" s="3"/>
      <c r="J896" s="3"/>
      <c r="K896" s="3"/>
      <c r="L896" s="3"/>
      <c r="M896" s="3"/>
    </row>
    <row r="897" spans="1:13" x14ac:dyDescent="0.45">
      <c r="A897" s="105" t="s">
        <v>585</v>
      </c>
      <c r="B897" s="106"/>
      <c r="C897" s="106"/>
      <c r="D897" s="106"/>
      <c r="E897" s="67">
        <f>$T$8</f>
        <v>15</v>
      </c>
      <c r="F897" s="3"/>
      <c r="G897" s="3"/>
      <c r="H897" s="3"/>
      <c r="I897" s="3"/>
      <c r="J897" s="3"/>
      <c r="K897" s="3"/>
      <c r="L897" s="3"/>
      <c r="M897" s="3"/>
    </row>
    <row r="898" spans="1:13" x14ac:dyDescent="0.45">
      <c r="A898" s="107" t="s">
        <v>586</v>
      </c>
      <c r="B898" s="108"/>
      <c r="C898" s="108"/>
      <c r="D898" s="108"/>
      <c r="E898" s="68">
        <f t="shared" ref="E898" si="420">SUM(E895:E897)</f>
        <v>140.37</v>
      </c>
      <c r="F898" s="3"/>
      <c r="G898" s="3"/>
      <c r="H898" s="3"/>
      <c r="I898" s="3"/>
      <c r="J898" s="3"/>
      <c r="K898" s="3"/>
      <c r="L898" s="3"/>
      <c r="M898" s="3"/>
    </row>
    <row r="899" spans="1:13" ht="18.600000000000001" thickBot="1" x14ac:dyDescent="0.5">
      <c r="A899" s="101" t="s">
        <v>587</v>
      </c>
      <c r="B899" s="102"/>
      <c r="C899" s="102"/>
      <c r="D899" s="102"/>
      <c r="E899" s="69">
        <f t="shared" ref="E899" si="421">E889+E894+E898</f>
        <v>5179.3367248000004</v>
      </c>
      <c r="F899" s="3"/>
      <c r="G899" s="3"/>
      <c r="H899" s="3"/>
      <c r="I899" s="3"/>
      <c r="J899" s="3"/>
      <c r="K899" s="3"/>
      <c r="L899" s="3"/>
      <c r="M899" s="3"/>
    </row>
    <row r="900" spans="1:13" x14ac:dyDescent="0.4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x14ac:dyDescent="0.4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x14ac:dyDescent="0.4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x14ac:dyDescent="0.4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x14ac:dyDescent="0.4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8.600000000000001" thickBot="1" x14ac:dyDescent="0.5">
      <c r="A905" s="10" t="s">
        <v>588</v>
      </c>
      <c r="B905" s="61"/>
      <c r="C905" s="61"/>
      <c r="D905" s="61"/>
      <c r="E905" s="61"/>
      <c r="F905" s="61"/>
      <c r="G905" s="61"/>
      <c r="H905" s="100" t="s">
        <v>1</v>
      </c>
      <c r="I905" s="100"/>
      <c r="J905" s="3"/>
      <c r="K905" s="3"/>
      <c r="L905" s="3"/>
      <c r="M905" s="3"/>
    </row>
    <row r="906" spans="1:13" x14ac:dyDescent="0.45">
      <c r="A906" s="117" t="s">
        <v>576</v>
      </c>
      <c r="B906" s="118"/>
      <c r="C906" s="118"/>
      <c r="D906" s="118"/>
      <c r="E906" s="119"/>
      <c r="F906" s="120" t="s">
        <v>577</v>
      </c>
      <c r="G906" s="121"/>
      <c r="H906" s="121"/>
      <c r="I906" s="122"/>
      <c r="J906" s="3"/>
      <c r="K906" s="44" t="s">
        <v>590</v>
      </c>
      <c r="L906" s="39">
        <f>損益分岐点!$M$2</f>
        <v>10</v>
      </c>
      <c r="M906" s="3" t="s">
        <v>465</v>
      </c>
    </row>
    <row r="907" spans="1:13" x14ac:dyDescent="0.45">
      <c r="A907" s="123" t="s">
        <v>578</v>
      </c>
      <c r="B907" s="124"/>
      <c r="C907" s="124"/>
      <c r="D907" s="124"/>
      <c r="E907" s="65" t="s">
        <v>0</v>
      </c>
      <c r="F907" s="125" t="s">
        <v>578</v>
      </c>
      <c r="G907" s="124"/>
      <c r="H907" s="124"/>
      <c r="I907" s="65" t="s">
        <v>0</v>
      </c>
      <c r="J907" s="3"/>
      <c r="K907" s="58" t="s">
        <v>589</v>
      </c>
      <c r="L907" s="74">
        <f>$T$5</f>
        <v>3</v>
      </c>
      <c r="M907" s="3" t="s">
        <v>594</v>
      </c>
    </row>
    <row r="908" spans="1:13" ht="18.600000000000001" thickBot="1" x14ac:dyDescent="0.5">
      <c r="A908" s="116" t="s">
        <v>3</v>
      </c>
      <c r="B908" s="115"/>
      <c r="C908" s="115"/>
      <c r="D908" s="115"/>
      <c r="E908" s="67">
        <f>IF(真実の家賃!$L$1=TRUE,計算用1!E907,計算用2!E907)</f>
        <v>0</v>
      </c>
      <c r="F908" s="114" t="s">
        <v>7</v>
      </c>
      <c r="G908" s="115"/>
      <c r="H908" s="115"/>
      <c r="I908" s="70">
        <f t="shared" ref="I908" si="422">L906*5*L907</f>
        <v>150</v>
      </c>
      <c r="J908" s="3"/>
      <c r="K908" s="73" t="s">
        <v>628</v>
      </c>
      <c r="L908" s="72">
        <v>44</v>
      </c>
      <c r="M908" s="3" t="s">
        <v>468</v>
      </c>
    </row>
    <row r="909" spans="1:13" x14ac:dyDescent="0.45">
      <c r="A909" s="116" t="s">
        <v>6</v>
      </c>
      <c r="B909" s="115"/>
      <c r="C909" s="115"/>
      <c r="D909" s="115"/>
      <c r="E909" s="67">
        <f>IF(真実の家賃!$L$1=TRUE,計算用1!E908,計算用2!E908)</f>
        <v>238.79999999999998</v>
      </c>
      <c r="F909" s="111" t="s">
        <v>579</v>
      </c>
      <c r="G909" s="112"/>
      <c r="H909" s="112"/>
      <c r="I909" s="71">
        <f t="shared" ref="I909" si="423">I908</f>
        <v>150</v>
      </c>
      <c r="J909" s="3"/>
      <c r="K909" s="3"/>
      <c r="L909" s="3"/>
      <c r="M909" s="3"/>
    </row>
    <row r="910" spans="1:13" x14ac:dyDescent="0.45">
      <c r="A910" s="113" t="s">
        <v>579</v>
      </c>
      <c r="B910" s="112"/>
      <c r="C910" s="112"/>
      <c r="D910" s="112"/>
      <c r="E910" s="68">
        <f t="shared" ref="E910" si="424">SUM(E908:E909)</f>
        <v>238.79999999999998</v>
      </c>
      <c r="F910" s="114" t="s">
        <v>583</v>
      </c>
      <c r="G910" s="115"/>
      <c r="H910" s="115"/>
      <c r="I910" s="70">
        <f t="shared" ref="I910" si="425">L908*12*L906</f>
        <v>5280</v>
      </c>
      <c r="J910" s="3"/>
      <c r="K910" s="3"/>
      <c r="L910" s="3"/>
      <c r="M910" s="3"/>
    </row>
    <row r="911" spans="1:13" x14ac:dyDescent="0.45">
      <c r="A911" s="116" t="s">
        <v>580</v>
      </c>
      <c r="B911" s="115"/>
      <c r="C911" s="115"/>
      <c r="D911" s="115"/>
      <c r="E911" s="67">
        <f>IF(真実の家賃!$L$1=TRUE,計算用1!E910,計算用2!E910)</f>
        <v>4450.9080000000004</v>
      </c>
      <c r="F911" s="114" t="s">
        <v>596</v>
      </c>
      <c r="G911" s="115"/>
      <c r="H911" s="115"/>
      <c r="I911" s="70">
        <f>_xlfn.SWITCH(L908,1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220</v>
      </c>
      <c r="J911" s="3"/>
      <c r="K911" s="3"/>
      <c r="L911" s="3"/>
      <c r="M911" s="3"/>
    </row>
    <row r="912" spans="1:13" x14ac:dyDescent="0.45">
      <c r="A912" s="105" t="s">
        <v>581</v>
      </c>
      <c r="B912" s="106"/>
      <c r="C912" s="106"/>
      <c r="D912" s="106"/>
      <c r="E912" s="67">
        <f>IF(真実の家賃!$L$1=TRUE,計算用1!E911,計算用2!E911)</f>
        <v>660</v>
      </c>
      <c r="F912" s="111" t="s">
        <v>582</v>
      </c>
      <c r="G912" s="112"/>
      <c r="H912" s="112"/>
      <c r="I912" s="71">
        <f t="shared" ref="I912" si="426">SUM(I910:I911)</f>
        <v>5500</v>
      </c>
      <c r="J912" s="3"/>
      <c r="K912" s="3"/>
      <c r="L912" s="3"/>
      <c r="M912" s="3"/>
    </row>
    <row r="913" spans="1:13" x14ac:dyDescent="0.45">
      <c r="A913" s="116" t="s">
        <v>9</v>
      </c>
      <c r="B913" s="115"/>
      <c r="C913" s="115"/>
      <c r="D913" s="115"/>
      <c r="E913" s="67">
        <f>IF(真実の家賃!$L$1=TRUE,計算用1!E912,計算用2!E912)</f>
        <v>-295.74127519999996</v>
      </c>
      <c r="F913" s="110" t="s">
        <v>585</v>
      </c>
      <c r="G913" s="106"/>
      <c r="H913" s="106"/>
      <c r="I913" s="70">
        <f t="shared" ref="I913" si="427">15*L907</f>
        <v>45</v>
      </c>
      <c r="J913" s="3"/>
      <c r="K913" s="3"/>
      <c r="L913" s="3"/>
      <c r="M913" s="3"/>
    </row>
    <row r="914" spans="1:13" x14ac:dyDescent="0.45">
      <c r="A914" s="105" t="s">
        <v>10</v>
      </c>
      <c r="B914" s="106"/>
      <c r="C914" s="106"/>
      <c r="D914" s="106"/>
      <c r="E914" s="67">
        <f>IF(真実の家賃!$L$1=TRUE,計算用1!E913,計算用2!E913)</f>
        <v>0</v>
      </c>
      <c r="F914" s="109" t="s">
        <v>586</v>
      </c>
      <c r="G914" s="108"/>
      <c r="H914" s="108"/>
      <c r="I914" s="71">
        <f t="shared" ref="I914" si="428">I913</f>
        <v>45</v>
      </c>
      <c r="J914" s="3"/>
      <c r="K914" s="3"/>
      <c r="L914" s="3"/>
      <c r="M914" s="3"/>
    </row>
    <row r="915" spans="1:13" ht="18.600000000000001" thickBot="1" x14ac:dyDescent="0.5">
      <c r="A915" s="113" t="s">
        <v>582</v>
      </c>
      <c r="B915" s="112"/>
      <c r="C915" s="112"/>
      <c r="D915" s="112"/>
      <c r="E915" s="68">
        <f t="shared" ref="E915" si="429">E911+E912+E913+E914</f>
        <v>4815.1667248000003</v>
      </c>
      <c r="F915" s="103" t="s">
        <v>587</v>
      </c>
      <c r="G915" s="104"/>
      <c r="H915" s="104"/>
      <c r="I915" s="66">
        <f t="shared" ref="I915" si="430">I909+I912+I914</f>
        <v>5695</v>
      </c>
      <c r="J915" s="3"/>
      <c r="K915" s="3"/>
      <c r="L915" s="3"/>
      <c r="M915" s="3"/>
    </row>
    <row r="916" spans="1:13" x14ac:dyDescent="0.45">
      <c r="A916" s="105" t="s">
        <v>12</v>
      </c>
      <c r="B916" s="106"/>
      <c r="C916" s="106"/>
      <c r="D916" s="106"/>
      <c r="E916" s="67">
        <f>IF(真実の家賃!$L$1=TRUE,計算用1!E915,計算用2!E915)</f>
        <v>0</v>
      </c>
      <c r="F916" s="3"/>
      <c r="G916" s="3"/>
      <c r="H916" s="3"/>
      <c r="I916" s="3"/>
      <c r="J916" s="3"/>
      <c r="K916" s="3"/>
      <c r="L916" s="3"/>
      <c r="M916" s="3"/>
    </row>
    <row r="917" spans="1:13" x14ac:dyDescent="0.45">
      <c r="A917" s="105" t="s">
        <v>584</v>
      </c>
      <c r="B917" s="106"/>
      <c r="C917" s="106"/>
      <c r="D917" s="106"/>
      <c r="E917" s="67">
        <f>IF(真実の家賃!$L$1=TRUE,計算用1!E916,計算用2!E916)</f>
        <v>125.37</v>
      </c>
      <c r="F917" s="3"/>
      <c r="G917" s="3"/>
      <c r="H917" s="3"/>
      <c r="I917" s="3"/>
      <c r="J917" s="3"/>
      <c r="K917" s="3"/>
      <c r="L917" s="3"/>
      <c r="M917" s="3"/>
    </row>
    <row r="918" spans="1:13" x14ac:dyDescent="0.45">
      <c r="A918" s="105" t="s">
        <v>585</v>
      </c>
      <c r="B918" s="106"/>
      <c r="C918" s="106"/>
      <c r="D918" s="106"/>
      <c r="E918" s="67">
        <f>$T$8</f>
        <v>15</v>
      </c>
      <c r="F918" s="3"/>
      <c r="G918" s="3"/>
      <c r="H918" s="3"/>
      <c r="I918" s="3"/>
      <c r="J918" s="3"/>
      <c r="K918" s="3"/>
      <c r="L918" s="3"/>
      <c r="M918" s="3"/>
    </row>
    <row r="919" spans="1:13" x14ac:dyDescent="0.45">
      <c r="A919" s="107" t="s">
        <v>586</v>
      </c>
      <c r="B919" s="108"/>
      <c r="C919" s="108"/>
      <c r="D919" s="108"/>
      <c r="E919" s="68">
        <f t="shared" ref="E919" si="431">SUM(E916:E918)</f>
        <v>140.37</v>
      </c>
      <c r="F919" s="3"/>
      <c r="G919" s="3"/>
      <c r="H919" s="3"/>
      <c r="I919" s="3"/>
      <c r="J919" s="3"/>
      <c r="K919" s="3"/>
      <c r="L919" s="3"/>
      <c r="M919" s="3"/>
    </row>
    <row r="920" spans="1:13" ht="18.600000000000001" thickBot="1" x14ac:dyDescent="0.5">
      <c r="A920" s="101" t="s">
        <v>587</v>
      </c>
      <c r="B920" s="102"/>
      <c r="C920" s="102"/>
      <c r="D920" s="102"/>
      <c r="E920" s="69">
        <f t="shared" ref="E920" si="432">E910+E915+E919</f>
        <v>5194.3367248000004</v>
      </c>
      <c r="F920" s="3"/>
      <c r="G920" s="3"/>
      <c r="H920" s="3"/>
      <c r="I920" s="3"/>
      <c r="J920" s="3"/>
      <c r="K920" s="3"/>
      <c r="L920" s="3"/>
      <c r="M920" s="3"/>
    </row>
    <row r="921" spans="1:13" x14ac:dyDescent="0.4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x14ac:dyDescent="0.4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x14ac:dyDescent="0.4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x14ac:dyDescent="0.4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x14ac:dyDescent="0.4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8.600000000000001" thickBot="1" x14ac:dyDescent="0.5">
      <c r="A926" s="10" t="s">
        <v>588</v>
      </c>
      <c r="B926" s="61"/>
      <c r="C926" s="61"/>
      <c r="D926" s="61"/>
      <c r="E926" s="61"/>
      <c r="F926" s="61"/>
      <c r="G926" s="61"/>
      <c r="H926" s="100" t="s">
        <v>1</v>
      </c>
      <c r="I926" s="100"/>
      <c r="J926" s="3"/>
      <c r="K926" s="3"/>
      <c r="L926" s="3"/>
      <c r="M926" s="3"/>
    </row>
    <row r="927" spans="1:13" x14ac:dyDescent="0.45">
      <c r="A927" s="117" t="s">
        <v>576</v>
      </c>
      <c r="B927" s="118"/>
      <c r="C927" s="118"/>
      <c r="D927" s="118"/>
      <c r="E927" s="119"/>
      <c r="F927" s="120" t="s">
        <v>577</v>
      </c>
      <c r="G927" s="121"/>
      <c r="H927" s="121"/>
      <c r="I927" s="122"/>
      <c r="J927" s="3"/>
      <c r="K927" s="44" t="s">
        <v>590</v>
      </c>
      <c r="L927" s="39">
        <f>損益分岐点!$M$2</f>
        <v>10</v>
      </c>
      <c r="M927" s="3" t="s">
        <v>465</v>
      </c>
    </row>
    <row r="928" spans="1:13" x14ac:dyDescent="0.45">
      <c r="A928" s="123" t="s">
        <v>578</v>
      </c>
      <c r="B928" s="124"/>
      <c r="C928" s="124"/>
      <c r="D928" s="124"/>
      <c r="E928" s="65" t="s">
        <v>0</v>
      </c>
      <c r="F928" s="125" t="s">
        <v>578</v>
      </c>
      <c r="G928" s="124"/>
      <c r="H928" s="124"/>
      <c r="I928" s="65" t="s">
        <v>0</v>
      </c>
      <c r="J928" s="3"/>
      <c r="K928" s="58" t="s">
        <v>589</v>
      </c>
      <c r="L928" s="74">
        <f>$T$5</f>
        <v>3</v>
      </c>
      <c r="M928" s="3" t="s">
        <v>594</v>
      </c>
    </row>
    <row r="929" spans="1:13" ht="18.600000000000001" thickBot="1" x14ac:dyDescent="0.5">
      <c r="A929" s="116" t="s">
        <v>3</v>
      </c>
      <c r="B929" s="115"/>
      <c r="C929" s="115"/>
      <c r="D929" s="115"/>
      <c r="E929" s="67">
        <f>IF(真実の家賃!$L$1=TRUE,計算用1!E928,計算用2!E928)</f>
        <v>0</v>
      </c>
      <c r="F929" s="114" t="s">
        <v>7</v>
      </c>
      <c r="G929" s="115"/>
      <c r="H929" s="115"/>
      <c r="I929" s="70">
        <f t="shared" ref="I929" si="433">L927*5*L928</f>
        <v>150</v>
      </c>
      <c r="J929" s="3"/>
      <c r="K929" s="73" t="s">
        <v>628</v>
      </c>
      <c r="L929" s="72">
        <v>45</v>
      </c>
      <c r="M929" s="3" t="s">
        <v>468</v>
      </c>
    </row>
    <row r="930" spans="1:13" x14ac:dyDescent="0.45">
      <c r="A930" s="116" t="s">
        <v>6</v>
      </c>
      <c r="B930" s="115"/>
      <c r="C930" s="115"/>
      <c r="D930" s="115"/>
      <c r="E930" s="67">
        <f>IF(真実の家賃!$L$1=TRUE,計算用1!E929,計算用2!E929)</f>
        <v>238.79999999999998</v>
      </c>
      <c r="F930" s="111" t="s">
        <v>579</v>
      </c>
      <c r="G930" s="112"/>
      <c r="H930" s="112"/>
      <c r="I930" s="71">
        <f t="shared" ref="I930" si="434">I929</f>
        <v>150</v>
      </c>
      <c r="J930" s="3"/>
      <c r="K930" s="3"/>
      <c r="L930" s="3"/>
      <c r="M930" s="3"/>
    </row>
    <row r="931" spans="1:13" x14ac:dyDescent="0.45">
      <c r="A931" s="113" t="s">
        <v>579</v>
      </c>
      <c r="B931" s="112"/>
      <c r="C931" s="112"/>
      <c r="D931" s="112"/>
      <c r="E931" s="68">
        <f t="shared" ref="E931" si="435">SUM(E929:E930)</f>
        <v>238.79999999999998</v>
      </c>
      <c r="F931" s="114" t="s">
        <v>583</v>
      </c>
      <c r="G931" s="115"/>
      <c r="H931" s="115"/>
      <c r="I931" s="70">
        <f t="shared" ref="I931" si="436">L929*12*L927</f>
        <v>5400</v>
      </c>
      <c r="J931" s="3"/>
      <c r="K931" s="3"/>
      <c r="L931" s="3"/>
      <c r="M931" s="3"/>
    </row>
    <row r="932" spans="1:13" x14ac:dyDescent="0.45">
      <c r="A932" s="116" t="s">
        <v>580</v>
      </c>
      <c r="B932" s="115"/>
      <c r="C932" s="115"/>
      <c r="D932" s="115"/>
      <c r="E932" s="67">
        <f>IF(真実の家賃!$L$1=TRUE,計算用1!E931,計算用2!E931)</f>
        <v>4450.9080000000004</v>
      </c>
      <c r="F932" s="114" t="s">
        <v>596</v>
      </c>
      <c r="G932" s="115"/>
      <c r="H932" s="115"/>
      <c r="I932" s="70">
        <f>_xlfn.SWITCH(L929,1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220</v>
      </c>
      <c r="J932" s="3"/>
      <c r="K932" s="3"/>
      <c r="L932" s="3"/>
      <c r="M932" s="3"/>
    </row>
    <row r="933" spans="1:13" x14ac:dyDescent="0.45">
      <c r="A933" s="105" t="s">
        <v>581</v>
      </c>
      <c r="B933" s="106"/>
      <c r="C933" s="106"/>
      <c r="D933" s="106"/>
      <c r="E933" s="67">
        <f>IF(真実の家賃!$L$1=TRUE,計算用1!E932,計算用2!E932)</f>
        <v>675</v>
      </c>
      <c r="F933" s="111" t="s">
        <v>582</v>
      </c>
      <c r="G933" s="112"/>
      <c r="H933" s="112"/>
      <c r="I933" s="71">
        <f t="shared" ref="I933" si="437">SUM(I931:I932)</f>
        <v>5620</v>
      </c>
      <c r="J933" s="3"/>
      <c r="K933" s="3"/>
      <c r="L933" s="3"/>
      <c r="M933" s="3"/>
    </row>
    <row r="934" spans="1:13" x14ac:dyDescent="0.45">
      <c r="A934" s="116" t="s">
        <v>9</v>
      </c>
      <c r="B934" s="115"/>
      <c r="C934" s="115"/>
      <c r="D934" s="115"/>
      <c r="E934" s="67">
        <f>IF(真実の家賃!$L$1=TRUE,計算用1!E933,計算用2!E933)</f>
        <v>-295.74127519999996</v>
      </c>
      <c r="F934" s="110" t="s">
        <v>585</v>
      </c>
      <c r="G934" s="106"/>
      <c r="H934" s="106"/>
      <c r="I934" s="70">
        <f t="shared" ref="I934" si="438">15*L928</f>
        <v>45</v>
      </c>
      <c r="J934" s="3"/>
      <c r="K934" s="3"/>
      <c r="L934" s="3"/>
      <c r="M934" s="3"/>
    </row>
    <row r="935" spans="1:13" x14ac:dyDescent="0.45">
      <c r="A935" s="105" t="s">
        <v>10</v>
      </c>
      <c r="B935" s="106"/>
      <c r="C935" s="106"/>
      <c r="D935" s="106"/>
      <c r="E935" s="67">
        <f>IF(真実の家賃!$L$1=TRUE,計算用1!E934,計算用2!E934)</f>
        <v>0</v>
      </c>
      <c r="F935" s="109" t="s">
        <v>586</v>
      </c>
      <c r="G935" s="108"/>
      <c r="H935" s="108"/>
      <c r="I935" s="71">
        <f t="shared" ref="I935" si="439">I934</f>
        <v>45</v>
      </c>
      <c r="J935" s="3"/>
      <c r="K935" s="3"/>
      <c r="L935" s="3"/>
      <c r="M935" s="3"/>
    </row>
    <row r="936" spans="1:13" ht="18.600000000000001" thickBot="1" x14ac:dyDescent="0.5">
      <c r="A936" s="113" t="s">
        <v>582</v>
      </c>
      <c r="B936" s="112"/>
      <c r="C936" s="112"/>
      <c r="D936" s="112"/>
      <c r="E936" s="68">
        <f t="shared" ref="E936" si="440">E932+E933+E934+E935</f>
        <v>4830.1667248000003</v>
      </c>
      <c r="F936" s="103" t="s">
        <v>587</v>
      </c>
      <c r="G936" s="104"/>
      <c r="H936" s="104"/>
      <c r="I936" s="66">
        <f t="shared" ref="I936" si="441">I930+I933+I935</f>
        <v>5815</v>
      </c>
      <c r="J936" s="3"/>
      <c r="K936" s="3"/>
      <c r="L936" s="3"/>
      <c r="M936" s="3"/>
    </row>
    <row r="937" spans="1:13" x14ac:dyDescent="0.45">
      <c r="A937" s="105" t="s">
        <v>12</v>
      </c>
      <c r="B937" s="106"/>
      <c r="C937" s="106"/>
      <c r="D937" s="106"/>
      <c r="E937" s="67">
        <f>IF(真実の家賃!$L$1=TRUE,計算用1!E936,計算用2!E936)</f>
        <v>0</v>
      </c>
      <c r="F937" s="3"/>
      <c r="G937" s="3"/>
      <c r="H937" s="3"/>
      <c r="I937" s="3"/>
      <c r="J937" s="3"/>
      <c r="K937" s="3"/>
      <c r="L937" s="3"/>
      <c r="M937" s="3"/>
    </row>
    <row r="938" spans="1:13" x14ac:dyDescent="0.45">
      <c r="A938" s="105" t="s">
        <v>584</v>
      </c>
      <c r="B938" s="106"/>
      <c r="C938" s="106"/>
      <c r="D938" s="106"/>
      <c r="E938" s="67">
        <f>IF(真実の家賃!$L$1=TRUE,計算用1!E937,計算用2!E937)</f>
        <v>125.37</v>
      </c>
      <c r="F938" s="3"/>
      <c r="G938" s="3"/>
      <c r="H938" s="3"/>
      <c r="I938" s="3"/>
      <c r="J938" s="3"/>
      <c r="K938" s="3"/>
      <c r="L938" s="3"/>
      <c r="M938" s="3"/>
    </row>
    <row r="939" spans="1:13" x14ac:dyDescent="0.45">
      <c r="A939" s="105" t="s">
        <v>585</v>
      </c>
      <c r="B939" s="106"/>
      <c r="C939" s="106"/>
      <c r="D939" s="106"/>
      <c r="E939" s="67">
        <f>$T$8</f>
        <v>15</v>
      </c>
      <c r="F939" s="3"/>
      <c r="G939" s="3"/>
      <c r="H939" s="3"/>
      <c r="I939" s="3"/>
      <c r="J939" s="3"/>
      <c r="K939" s="3"/>
      <c r="L939" s="3"/>
      <c r="M939" s="3"/>
    </row>
    <row r="940" spans="1:13" x14ac:dyDescent="0.45">
      <c r="A940" s="107" t="s">
        <v>586</v>
      </c>
      <c r="B940" s="108"/>
      <c r="C940" s="108"/>
      <c r="D940" s="108"/>
      <c r="E940" s="68">
        <f t="shared" ref="E940" si="442">SUM(E937:E939)</f>
        <v>140.37</v>
      </c>
      <c r="F940" s="3"/>
      <c r="G940" s="3"/>
      <c r="H940" s="3"/>
      <c r="I940" s="3"/>
      <c r="J940" s="3"/>
      <c r="K940" s="3"/>
      <c r="L940" s="3"/>
      <c r="M940" s="3"/>
    </row>
    <row r="941" spans="1:13" ht="18.600000000000001" thickBot="1" x14ac:dyDescent="0.5">
      <c r="A941" s="101" t="s">
        <v>587</v>
      </c>
      <c r="B941" s="102"/>
      <c r="C941" s="102"/>
      <c r="D941" s="102"/>
      <c r="E941" s="69">
        <f t="shared" ref="E941" si="443">E931+E936+E940</f>
        <v>5209.3367248000004</v>
      </c>
      <c r="F941" s="3"/>
      <c r="G941" s="3"/>
      <c r="H941" s="3"/>
      <c r="I941" s="3"/>
      <c r="J941" s="3"/>
      <c r="K941" s="3"/>
      <c r="L941" s="3"/>
      <c r="M941" s="3"/>
    </row>
    <row r="942" spans="1:13" x14ac:dyDescent="0.4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x14ac:dyDescent="0.4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x14ac:dyDescent="0.4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x14ac:dyDescent="0.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x14ac:dyDescent="0.4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8.600000000000001" thickBot="1" x14ac:dyDescent="0.5">
      <c r="A947" s="10" t="s">
        <v>588</v>
      </c>
      <c r="B947" s="61"/>
      <c r="C947" s="61"/>
      <c r="D947" s="61"/>
      <c r="E947" s="61"/>
      <c r="F947" s="61"/>
      <c r="G947" s="61"/>
      <c r="H947" s="100" t="s">
        <v>1</v>
      </c>
      <c r="I947" s="100"/>
      <c r="J947" s="3"/>
      <c r="K947" s="3"/>
      <c r="L947" s="3"/>
      <c r="M947" s="3"/>
    </row>
    <row r="948" spans="1:13" x14ac:dyDescent="0.45">
      <c r="A948" s="117" t="s">
        <v>576</v>
      </c>
      <c r="B948" s="118"/>
      <c r="C948" s="118"/>
      <c r="D948" s="118"/>
      <c r="E948" s="119"/>
      <c r="F948" s="120" t="s">
        <v>577</v>
      </c>
      <c r="G948" s="121"/>
      <c r="H948" s="121"/>
      <c r="I948" s="122"/>
      <c r="J948" s="3"/>
      <c r="K948" s="44" t="s">
        <v>590</v>
      </c>
      <c r="L948" s="39">
        <f>損益分岐点!$M$2</f>
        <v>10</v>
      </c>
      <c r="M948" s="3" t="s">
        <v>465</v>
      </c>
    </row>
    <row r="949" spans="1:13" x14ac:dyDescent="0.45">
      <c r="A949" s="123" t="s">
        <v>578</v>
      </c>
      <c r="B949" s="124"/>
      <c r="C949" s="124"/>
      <c r="D949" s="124"/>
      <c r="E949" s="65" t="s">
        <v>0</v>
      </c>
      <c r="F949" s="125" t="s">
        <v>578</v>
      </c>
      <c r="G949" s="124"/>
      <c r="H949" s="124"/>
      <c r="I949" s="65" t="s">
        <v>0</v>
      </c>
      <c r="J949" s="3"/>
      <c r="K949" s="58" t="s">
        <v>589</v>
      </c>
      <c r="L949" s="74">
        <f>$T$6</f>
        <v>4</v>
      </c>
      <c r="M949" s="3" t="s">
        <v>594</v>
      </c>
    </row>
    <row r="950" spans="1:13" ht="18.600000000000001" thickBot="1" x14ac:dyDescent="0.5">
      <c r="A950" s="116" t="s">
        <v>3</v>
      </c>
      <c r="B950" s="115"/>
      <c r="C950" s="115"/>
      <c r="D950" s="115"/>
      <c r="E950" s="67">
        <f>IF(真実の家賃!$L$1=TRUE,計算用1!E949,計算用2!E949)</f>
        <v>0</v>
      </c>
      <c r="F950" s="114" t="s">
        <v>7</v>
      </c>
      <c r="G950" s="115"/>
      <c r="H950" s="115"/>
      <c r="I950" s="70">
        <f t="shared" ref="I950" si="444">L948*5*L949</f>
        <v>200</v>
      </c>
      <c r="J950" s="3"/>
      <c r="K950" s="73" t="s">
        <v>628</v>
      </c>
      <c r="L950" s="72">
        <v>46</v>
      </c>
      <c r="M950" s="3" t="s">
        <v>468</v>
      </c>
    </row>
    <row r="951" spans="1:13" x14ac:dyDescent="0.45">
      <c r="A951" s="116" t="s">
        <v>6</v>
      </c>
      <c r="B951" s="115"/>
      <c r="C951" s="115"/>
      <c r="D951" s="115"/>
      <c r="E951" s="67">
        <f>IF(真実の家賃!$L$1=TRUE,計算用1!E950,計算用2!E950)</f>
        <v>238.79999999999998</v>
      </c>
      <c r="F951" s="111" t="s">
        <v>579</v>
      </c>
      <c r="G951" s="112"/>
      <c r="H951" s="112"/>
      <c r="I951" s="71">
        <f t="shared" ref="I951" si="445">I950</f>
        <v>200</v>
      </c>
      <c r="J951" s="3"/>
      <c r="K951" s="3"/>
      <c r="L951" s="3"/>
      <c r="M951" s="3"/>
    </row>
    <row r="952" spans="1:13" x14ac:dyDescent="0.45">
      <c r="A952" s="113" t="s">
        <v>579</v>
      </c>
      <c r="B952" s="112"/>
      <c r="C952" s="112"/>
      <c r="D952" s="112"/>
      <c r="E952" s="68">
        <f t="shared" ref="E952" si="446">SUM(E950:E951)</f>
        <v>238.79999999999998</v>
      </c>
      <c r="F952" s="114" t="s">
        <v>583</v>
      </c>
      <c r="G952" s="115"/>
      <c r="H952" s="115"/>
      <c r="I952" s="70">
        <f t="shared" ref="I952" si="447">L950*12*L948</f>
        <v>5520</v>
      </c>
      <c r="J952" s="3"/>
      <c r="K952" s="3"/>
      <c r="L952" s="3"/>
      <c r="M952" s="3"/>
    </row>
    <row r="953" spans="1:13" x14ac:dyDescent="0.45">
      <c r="A953" s="116" t="s">
        <v>580</v>
      </c>
      <c r="B953" s="115"/>
      <c r="C953" s="115"/>
      <c r="D953" s="115"/>
      <c r="E953" s="67">
        <f>IF(真実の家賃!$L$1=TRUE,計算用1!E952,計算用2!E952)</f>
        <v>4450.9080000000004</v>
      </c>
      <c r="F953" s="114" t="s">
        <v>596</v>
      </c>
      <c r="G953" s="115"/>
      <c r="H953" s="115"/>
      <c r="I953" s="70">
        <f>_xlfn.SWITCH(L950,1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230</v>
      </c>
      <c r="J953" s="3"/>
      <c r="K953" s="3"/>
      <c r="L953" s="3"/>
      <c r="M953" s="3"/>
    </row>
    <row r="954" spans="1:13" x14ac:dyDescent="0.45">
      <c r="A954" s="105" t="s">
        <v>581</v>
      </c>
      <c r="B954" s="106"/>
      <c r="C954" s="106"/>
      <c r="D954" s="106"/>
      <c r="E954" s="67">
        <f>IF(真実の家賃!$L$1=TRUE,計算用1!E953,計算用2!E953)</f>
        <v>690</v>
      </c>
      <c r="F954" s="111" t="s">
        <v>582</v>
      </c>
      <c r="G954" s="112"/>
      <c r="H954" s="112"/>
      <c r="I954" s="71">
        <f t="shared" ref="I954" si="448">SUM(I952:I953)</f>
        <v>5750</v>
      </c>
      <c r="J954" s="3"/>
      <c r="K954" s="3"/>
      <c r="L954" s="3"/>
      <c r="M954" s="3"/>
    </row>
    <row r="955" spans="1:13" x14ac:dyDescent="0.45">
      <c r="A955" s="116" t="s">
        <v>9</v>
      </c>
      <c r="B955" s="115"/>
      <c r="C955" s="115"/>
      <c r="D955" s="115"/>
      <c r="E955" s="67">
        <f>IF(真実の家賃!$L$1=TRUE,計算用1!E954,計算用2!E954)</f>
        <v>-295.74127519999996</v>
      </c>
      <c r="F955" s="110" t="s">
        <v>585</v>
      </c>
      <c r="G955" s="106"/>
      <c r="H955" s="106"/>
      <c r="I955" s="70">
        <f t="shared" ref="I955" si="449">15*L949</f>
        <v>60</v>
      </c>
      <c r="J955" s="3"/>
      <c r="K955" s="3"/>
      <c r="L955" s="3"/>
      <c r="M955" s="3"/>
    </row>
    <row r="956" spans="1:13" x14ac:dyDescent="0.45">
      <c r="A956" s="105" t="s">
        <v>10</v>
      </c>
      <c r="B956" s="106"/>
      <c r="C956" s="106"/>
      <c r="D956" s="106"/>
      <c r="E956" s="67">
        <f>IF(真実の家賃!$L$1=TRUE,計算用1!E955,計算用2!E955)</f>
        <v>0</v>
      </c>
      <c r="F956" s="109" t="s">
        <v>586</v>
      </c>
      <c r="G956" s="108"/>
      <c r="H956" s="108"/>
      <c r="I956" s="71">
        <f t="shared" ref="I956" si="450">I955</f>
        <v>60</v>
      </c>
      <c r="J956" s="3"/>
      <c r="K956" s="3"/>
      <c r="L956" s="3"/>
      <c r="M956" s="3"/>
    </row>
    <row r="957" spans="1:13" ht="18.600000000000001" thickBot="1" x14ac:dyDescent="0.5">
      <c r="A957" s="113" t="s">
        <v>582</v>
      </c>
      <c r="B957" s="112"/>
      <c r="C957" s="112"/>
      <c r="D957" s="112"/>
      <c r="E957" s="68">
        <f t="shared" ref="E957" si="451">E953+E954+E955+E956</f>
        <v>4845.1667248000003</v>
      </c>
      <c r="F957" s="103" t="s">
        <v>587</v>
      </c>
      <c r="G957" s="104"/>
      <c r="H957" s="104"/>
      <c r="I957" s="66">
        <f t="shared" ref="I957" si="452">I951+I954+I956</f>
        <v>6010</v>
      </c>
      <c r="J957" s="3"/>
      <c r="K957" s="3"/>
      <c r="L957" s="3"/>
      <c r="M957" s="3"/>
    </row>
    <row r="958" spans="1:13" x14ac:dyDescent="0.45">
      <c r="A958" s="105" t="s">
        <v>12</v>
      </c>
      <c r="B958" s="106"/>
      <c r="C958" s="106"/>
      <c r="D958" s="106"/>
      <c r="E958" s="67">
        <f>IF(真実の家賃!$L$1=TRUE,計算用1!E957,計算用2!E957)</f>
        <v>0</v>
      </c>
      <c r="F958" s="3"/>
      <c r="G958" s="3"/>
      <c r="H958" s="3"/>
      <c r="I958" s="3"/>
      <c r="J958" s="3"/>
      <c r="K958" s="3"/>
      <c r="L958" s="3"/>
      <c r="M958" s="3"/>
    </row>
    <row r="959" spans="1:13" x14ac:dyDescent="0.45">
      <c r="A959" s="105" t="s">
        <v>584</v>
      </c>
      <c r="B959" s="106"/>
      <c r="C959" s="106"/>
      <c r="D959" s="106"/>
      <c r="E959" s="67">
        <f>IF(真実の家賃!$L$1=TRUE,計算用1!E958,計算用2!E958)</f>
        <v>125.37</v>
      </c>
      <c r="F959" s="3"/>
      <c r="G959" s="3"/>
      <c r="H959" s="3"/>
      <c r="I959" s="3"/>
      <c r="J959" s="3"/>
      <c r="K959" s="3"/>
      <c r="L959" s="3"/>
      <c r="M959" s="3"/>
    </row>
    <row r="960" spans="1:13" x14ac:dyDescent="0.45">
      <c r="A960" s="105" t="s">
        <v>585</v>
      </c>
      <c r="B960" s="106"/>
      <c r="C960" s="106"/>
      <c r="D960" s="106"/>
      <c r="E960" s="67">
        <f>$T$8</f>
        <v>15</v>
      </c>
      <c r="F960" s="3"/>
      <c r="G960" s="3"/>
      <c r="H960" s="3"/>
      <c r="I960" s="3"/>
      <c r="J960" s="3"/>
      <c r="K960" s="3"/>
      <c r="L960" s="3"/>
      <c r="M960" s="3"/>
    </row>
    <row r="961" spans="1:13" x14ac:dyDescent="0.45">
      <c r="A961" s="107" t="s">
        <v>586</v>
      </c>
      <c r="B961" s="108"/>
      <c r="C961" s="108"/>
      <c r="D961" s="108"/>
      <c r="E961" s="68">
        <f t="shared" ref="E961" si="453">SUM(E958:E960)</f>
        <v>140.37</v>
      </c>
      <c r="F961" s="3"/>
      <c r="G961" s="3"/>
      <c r="H961" s="3"/>
      <c r="I961" s="3"/>
      <c r="J961" s="3"/>
      <c r="K961" s="3"/>
      <c r="L961" s="3"/>
      <c r="M961" s="3"/>
    </row>
    <row r="962" spans="1:13" ht="18.600000000000001" thickBot="1" x14ac:dyDescent="0.5">
      <c r="A962" s="101" t="s">
        <v>587</v>
      </c>
      <c r="B962" s="102"/>
      <c r="C962" s="102"/>
      <c r="D962" s="102"/>
      <c r="E962" s="69">
        <f t="shared" ref="E962" si="454">E952+E957+E961</f>
        <v>5224.3367248000004</v>
      </c>
      <c r="F962" s="3"/>
      <c r="G962" s="3"/>
      <c r="H962" s="3"/>
      <c r="I962" s="3"/>
      <c r="J962" s="3"/>
      <c r="K962" s="3"/>
      <c r="L962" s="3"/>
      <c r="M962" s="3"/>
    </row>
    <row r="963" spans="1:13" x14ac:dyDescent="0.4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x14ac:dyDescent="0.4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x14ac:dyDescent="0.4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x14ac:dyDescent="0.4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x14ac:dyDescent="0.4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8.600000000000001" thickBot="1" x14ac:dyDescent="0.5">
      <c r="A968" s="10" t="s">
        <v>588</v>
      </c>
      <c r="B968" s="61"/>
      <c r="C968" s="61"/>
      <c r="D968" s="61"/>
      <c r="E968" s="61"/>
      <c r="F968" s="61"/>
      <c r="G968" s="61"/>
      <c r="H968" s="100" t="s">
        <v>1</v>
      </c>
      <c r="I968" s="100"/>
      <c r="J968" s="3"/>
      <c r="K968" s="3"/>
      <c r="L968" s="3"/>
      <c r="M968" s="3"/>
    </row>
    <row r="969" spans="1:13" x14ac:dyDescent="0.45">
      <c r="A969" s="117" t="s">
        <v>576</v>
      </c>
      <c r="B969" s="118"/>
      <c r="C969" s="118"/>
      <c r="D969" s="118"/>
      <c r="E969" s="119"/>
      <c r="F969" s="120" t="s">
        <v>577</v>
      </c>
      <c r="G969" s="121"/>
      <c r="H969" s="121"/>
      <c r="I969" s="122"/>
      <c r="J969" s="3"/>
      <c r="K969" s="44" t="s">
        <v>590</v>
      </c>
      <c r="L969" s="39">
        <f>損益分岐点!$M$2</f>
        <v>10</v>
      </c>
      <c r="M969" s="3" t="s">
        <v>465</v>
      </c>
    </row>
    <row r="970" spans="1:13" x14ac:dyDescent="0.45">
      <c r="A970" s="123" t="s">
        <v>578</v>
      </c>
      <c r="B970" s="124"/>
      <c r="C970" s="124"/>
      <c r="D970" s="124"/>
      <c r="E970" s="65" t="s">
        <v>0</v>
      </c>
      <c r="F970" s="125" t="s">
        <v>578</v>
      </c>
      <c r="G970" s="124"/>
      <c r="H970" s="124"/>
      <c r="I970" s="65" t="s">
        <v>0</v>
      </c>
      <c r="J970" s="3"/>
      <c r="K970" s="58" t="s">
        <v>589</v>
      </c>
      <c r="L970" s="74">
        <f>$T$6</f>
        <v>4</v>
      </c>
      <c r="M970" s="3" t="s">
        <v>594</v>
      </c>
    </row>
    <row r="971" spans="1:13" ht="18.600000000000001" thickBot="1" x14ac:dyDescent="0.5">
      <c r="A971" s="116" t="s">
        <v>3</v>
      </c>
      <c r="B971" s="115"/>
      <c r="C971" s="115"/>
      <c r="D971" s="115"/>
      <c r="E971" s="67">
        <f>IF(真実の家賃!$L$1=TRUE,計算用1!E970,計算用2!E970)</f>
        <v>0</v>
      </c>
      <c r="F971" s="114" t="s">
        <v>7</v>
      </c>
      <c r="G971" s="115"/>
      <c r="H971" s="115"/>
      <c r="I971" s="70">
        <f t="shared" ref="I971" si="455">L969*5*L970</f>
        <v>200</v>
      </c>
      <c r="J971" s="3"/>
      <c r="K971" s="73" t="s">
        <v>628</v>
      </c>
      <c r="L971" s="72">
        <v>47</v>
      </c>
      <c r="M971" s="3" t="s">
        <v>468</v>
      </c>
    </row>
    <row r="972" spans="1:13" x14ac:dyDescent="0.45">
      <c r="A972" s="116" t="s">
        <v>6</v>
      </c>
      <c r="B972" s="115"/>
      <c r="C972" s="115"/>
      <c r="D972" s="115"/>
      <c r="E972" s="67">
        <f>IF(真実の家賃!$L$1=TRUE,計算用1!E971,計算用2!E971)</f>
        <v>238.79999999999998</v>
      </c>
      <c r="F972" s="111" t="s">
        <v>579</v>
      </c>
      <c r="G972" s="112"/>
      <c r="H972" s="112"/>
      <c r="I972" s="71">
        <f t="shared" ref="I972" si="456">I971</f>
        <v>200</v>
      </c>
      <c r="J972" s="3"/>
      <c r="K972" s="3"/>
      <c r="L972" s="3"/>
      <c r="M972" s="3"/>
    </row>
    <row r="973" spans="1:13" x14ac:dyDescent="0.45">
      <c r="A973" s="113" t="s">
        <v>579</v>
      </c>
      <c r="B973" s="112"/>
      <c r="C973" s="112"/>
      <c r="D973" s="112"/>
      <c r="E973" s="68">
        <f t="shared" ref="E973" si="457">SUM(E971:E972)</f>
        <v>238.79999999999998</v>
      </c>
      <c r="F973" s="114" t="s">
        <v>583</v>
      </c>
      <c r="G973" s="115"/>
      <c r="H973" s="115"/>
      <c r="I973" s="70">
        <f t="shared" ref="I973" si="458">L971*12*L969</f>
        <v>5640</v>
      </c>
      <c r="J973" s="3"/>
      <c r="K973" s="3"/>
      <c r="L973" s="3"/>
      <c r="M973" s="3"/>
    </row>
    <row r="974" spans="1:13" x14ac:dyDescent="0.45">
      <c r="A974" s="116" t="s">
        <v>580</v>
      </c>
      <c r="B974" s="115"/>
      <c r="C974" s="115"/>
      <c r="D974" s="115"/>
      <c r="E974" s="67">
        <f>IF(真実の家賃!$L$1=TRUE,計算用1!E973,計算用2!E973)</f>
        <v>4450.9080000000004</v>
      </c>
      <c r="F974" s="114" t="s">
        <v>596</v>
      </c>
      <c r="G974" s="115"/>
      <c r="H974" s="115"/>
      <c r="I974" s="70">
        <f>_xlfn.SWITCH(L971,1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230</v>
      </c>
      <c r="J974" s="3"/>
      <c r="K974" s="3"/>
      <c r="L974" s="3"/>
      <c r="M974" s="3"/>
    </row>
    <row r="975" spans="1:13" x14ac:dyDescent="0.45">
      <c r="A975" s="105" t="s">
        <v>581</v>
      </c>
      <c r="B975" s="106"/>
      <c r="C975" s="106"/>
      <c r="D975" s="106"/>
      <c r="E975" s="67">
        <f>IF(真実の家賃!$L$1=TRUE,計算用1!E974,計算用2!E974)</f>
        <v>705</v>
      </c>
      <c r="F975" s="111" t="s">
        <v>582</v>
      </c>
      <c r="G975" s="112"/>
      <c r="H975" s="112"/>
      <c r="I975" s="71">
        <f t="shared" ref="I975" si="459">SUM(I973:I974)</f>
        <v>5870</v>
      </c>
      <c r="J975" s="3"/>
      <c r="K975" s="3"/>
      <c r="L975" s="3"/>
      <c r="M975" s="3"/>
    </row>
    <row r="976" spans="1:13" x14ac:dyDescent="0.45">
      <c r="A976" s="116" t="s">
        <v>9</v>
      </c>
      <c r="B976" s="115"/>
      <c r="C976" s="115"/>
      <c r="D976" s="115"/>
      <c r="E976" s="67">
        <f>IF(真実の家賃!$L$1=TRUE,計算用1!E975,計算用2!E975)</f>
        <v>-295.74127519999996</v>
      </c>
      <c r="F976" s="110" t="s">
        <v>585</v>
      </c>
      <c r="G976" s="106"/>
      <c r="H976" s="106"/>
      <c r="I976" s="70">
        <f t="shared" ref="I976" si="460">15*L970</f>
        <v>60</v>
      </c>
      <c r="J976" s="3"/>
      <c r="K976" s="3"/>
      <c r="L976" s="3"/>
      <c r="M976" s="3"/>
    </row>
    <row r="977" spans="1:13" x14ac:dyDescent="0.45">
      <c r="A977" s="105" t="s">
        <v>10</v>
      </c>
      <c r="B977" s="106"/>
      <c r="C977" s="106"/>
      <c r="D977" s="106"/>
      <c r="E977" s="67">
        <f>IF(真実の家賃!$L$1=TRUE,計算用1!E976,計算用2!E976)</f>
        <v>0</v>
      </c>
      <c r="F977" s="109" t="s">
        <v>586</v>
      </c>
      <c r="G977" s="108"/>
      <c r="H977" s="108"/>
      <c r="I977" s="71">
        <f t="shared" ref="I977" si="461">I976</f>
        <v>60</v>
      </c>
      <c r="J977" s="3"/>
      <c r="K977" s="3"/>
      <c r="L977" s="3"/>
      <c r="M977" s="3"/>
    </row>
    <row r="978" spans="1:13" ht="18.600000000000001" thickBot="1" x14ac:dyDescent="0.5">
      <c r="A978" s="113" t="s">
        <v>582</v>
      </c>
      <c r="B978" s="112"/>
      <c r="C978" s="112"/>
      <c r="D978" s="112"/>
      <c r="E978" s="68">
        <f t="shared" ref="E978" si="462">E974+E975+E976+E977</f>
        <v>4860.1667248000003</v>
      </c>
      <c r="F978" s="103" t="s">
        <v>587</v>
      </c>
      <c r="G978" s="104"/>
      <c r="H978" s="104"/>
      <c r="I978" s="66">
        <f t="shared" ref="I978" si="463">I972+I975+I977</f>
        <v>6130</v>
      </c>
      <c r="J978" s="3"/>
      <c r="K978" s="3"/>
      <c r="L978" s="3"/>
      <c r="M978" s="3"/>
    </row>
    <row r="979" spans="1:13" x14ac:dyDescent="0.45">
      <c r="A979" s="105" t="s">
        <v>12</v>
      </c>
      <c r="B979" s="106"/>
      <c r="C979" s="106"/>
      <c r="D979" s="106"/>
      <c r="E979" s="67">
        <f>IF(真実の家賃!$L$1=TRUE,計算用1!E978,計算用2!E978)</f>
        <v>0</v>
      </c>
      <c r="F979" s="3"/>
      <c r="G979" s="3"/>
      <c r="H979" s="3"/>
      <c r="I979" s="3"/>
      <c r="J979" s="3"/>
      <c r="K979" s="3"/>
      <c r="L979" s="3"/>
      <c r="M979" s="3"/>
    </row>
    <row r="980" spans="1:13" x14ac:dyDescent="0.45">
      <c r="A980" s="105" t="s">
        <v>584</v>
      </c>
      <c r="B980" s="106"/>
      <c r="C980" s="106"/>
      <c r="D980" s="106"/>
      <c r="E980" s="67">
        <f>IF(真実の家賃!$L$1=TRUE,計算用1!E979,計算用2!E979)</f>
        <v>125.37</v>
      </c>
      <c r="F980" s="3"/>
      <c r="G980" s="3"/>
      <c r="H980" s="3"/>
      <c r="I980" s="3"/>
      <c r="J980" s="3"/>
      <c r="K980" s="3"/>
      <c r="L980" s="3"/>
      <c r="M980" s="3"/>
    </row>
    <row r="981" spans="1:13" x14ac:dyDescent="0.45">
      <c r="A981" s="105" t="s">
        <v>585</v>
      </c>
      <c r="B981" s="106"/>
      <c r="C981" s="106"/>
      <c r="D981" s="106"/>
      <c r="E981" s="67">
        <f>$T$8</f>
        <v>15</v>
      </c>
      <c r="F981" s="3"/>
      <c r="G981" s="3"/>
      <c r="H981" s="3"/>
      <c r="I981" s="3"/>
      <c r="J981" s="3"/>
      <c r="K981" s="3"/>
      <c r="L981" s="3"/>
      <c r="M981" s="3"/>
    </row>
    <row r="982" spans="1:13" x14ac:dyDescent="0.45">
      <c r="A982" s="107" t="s">
        <v>586</v>
      </c>
      <c r="B982" s="108"/>
      <c r="C982" s="108"/>
      <c r="D982" s="108"/>
      <c r="E982" s="68">
        <f t="shared" ref="E982" si="464">SUM(E979:E981)</f>
        <v>140.37</v>
      </c>
      <c r="F982" s="3"/>
      <c r="G982" s="3"/>
      <c r="H982" s="3"/>
      <c r="I982" s="3"/>
      <c r="J982" s="3"/>
      <c r="K982" s="3"/>
      <c r="L982" s="3"/>
      <c r="M982" s="3"/>
    </row>
    <row r="983" spans="1:13" ht="18.600000000000001" thickBot="1" x14ac:dyDescent="0.5">
      <c r="A983" s="101" t="s">
        <v>587</v>
      </c>
      <c r="B983" s="102"/>
      <c r="C983" s="102"/>
      <c r="D983" s="102"/>
      <c r="E983" s="69">
        <f t="shared" ref="E983" si="465">E973+E978+E982</f>
        <v>5239.3367248000004</v>
      </c>
      <c r="F983" s="3"/>
      <c r="G983" s="3"/>
      <c r="H983" s="3"/>
      <c r="I983" s="3"/>
      <c r="J983" s="3"/>
      <c r="K983" s="3"/>
      <c r="L983" s="3"/>
      <c r="M983" s="3"/>
    </row>
    <row r="984" spans="1:13" x14ac:dyDescent="0.4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x14ac:dyDescent="0.4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x14ac:dyDescent="0.4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x14ac:dyDescent="0.4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x14ac:dyDescent="0.4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8.600000000000001" thickBot="1" x14ac:dyDescent="0.5">
      <c r="A989" s="10" t="s">
        <v>588</v>
      </c>
      <c r="B989" s="61"/>
      <c r="C989" s="61"/>
      <c r="D989" s="61"/>
      <c r="E989" s="61"/>
      <c r="F989" s="61"/>
      <c r="G989" s="61"/>
      <c r="H989" s="100" t="s">
        <v>1</v>
      </c>
      <c r="I989" s="100"/>
      <c r="J989" s="3"/>
      <c r="K989" s="3"/>
      <c r="L989" s="3"/>
      <c r="M989" s="3"/>
    </row>
    <row r="990" spans="1:13" x14ac:dyDescent="0.45">
      <c r="A990" s="117" t="s">
        <v>576</v>
      </c>
      <c r="B990" s="118"/>
      <c r="C990" s="118"/>
      <c r="D990" s="118"/>
      <c r="E990" s="119"/>
      <c r="F990" s="120" t="s">
        <v>577</v>
      </c>
      <c r="G990" s="121"/>
      <c r="H990" s="121"/>
      <c r="I990" s="122"/>
      <c r="J990" s="3"/>
      <c r="K990" s="44" t="s">
        <v>590</v>
      </c>
      <c r="L990" s="39">
        <f>損益分岐点!$M$2</f>
        <v>10</v>
      </c>
      <c r="M990" s="3" t="s">
        <v>465</v>
      </c>
    </row>
    <row r="991" spans="1:13" x14ac:dyDescent="0.45">
      <c r="A991" s="123" t="s">
        <v>578</v>
      </c>
      <c r="B991" s="124"/>
      <c r="C991" s="124"/>
      <c r="D991" s="124"/>
      <c r="E991" s="65" t="s">
        <v>0</v>
      </c>
      <c r="F991" s="125" t="s">
        <v>578</v>
      </c>
      <c r="G991" s="124"/>
      <c r="H991" s="124"/>
      <c r="I991" s="65" t="s">
        <v>0</v>
      </c>
      <c r="J991" s="3"/>
      <c r="K991" s="58" t="s">
        <v>589</v>
      </c>
      <c r="L991" s="74">
        <f>$T$6</f>
        <v>4</v>
      </c>
      <c r="M991" s="3" t="s">
        <v>594</v>
      </c>
    </row>
    <row r="992" spans="1:13" ht="18.600000000000001" thickBot="1" x14ac:dyDescent="0.5">
      <c r="A992" s="116" t="s">
        <v>3</v>
      </c>
      <c r="B992" s="115"/>
      <c r="C992" s="115"/>
      <c r="D992" s="115"/>
      <c r="E992" s="67">
        <f>IF(真実の家賃!$L$1=TRUE,計算用1!E991,計算用2!E991)</f>
        <v>0</v>
      </c>
      <c r="F992" s="114" t="s">
        <v>7</v>
      </c>
      <c r="G992" s="115"/>
      <c r="H992" s="115"/>
      <c r="I992" s="70">
        <f t="shared" ref="I992" si="466">L990*5*L991</f>
        <v>200</v>
      </c>
      <c r="J992" s="3"/>
      <c r="K992" s="73" t="s">
        <v>628</v>
      </c>
      <c r="L992" s="72">
        <v>48</v>
      </c>
      <c r="M992" s="3" t="s">
        <v>468</v>
      </c>
    </row>
    <row r="993" spans="1:13" x14ac:dyDescent="0.45">
      <c r="A993" s="116" t="s">
        <v>6</v>
      </c>
      <c r="B993" s="115"/>
      <c r="C993" s="115"/>
      <c r="D993" s="115"/>
      <c r="E993" s="67">
        <f>IF(真実の家賃!$L$1=TRUE,計算用1!E992,計算用2!E992)</f>
        <v>238.79999999999998</v>
      </c>
      <c r="F993" s="111" t="s">
        <v>579</v>
      </c>
      <c r="G993" s="112"/>
      <c r="H993" s="112"/>
      <c r="I993" s="71">
        <f t="shared" ref="I993" si="467">I992</f>
        <v>200</v>
      </c>
      <c r="J993" s="3"/>
      <c r="K993" s="3"/>
      <c r="L993" s="3"/>
      <c r="M993" s="3"/>
    </row>
    <row r="994" spans="1:13" x14ac:dyDescent="0.45">
      <c r="A994" s="113" t="s">
        <v>579</v>
      </c>
      <c r="B994" s="112"/>
      <c r="C994" s="112"/>
      <c r="D994" s="112"/>
      <c r="E994" s="68">
        <f t="shared" ref="E994" si="468">SUM(E992:E993)</f>
        <v>238.79999999999998</v>
      </c>
      <c r="F994" s="114" t="s">
        <v>583</v>
      </c>
      <c r="G994" s="115"/>
      <c r="H994" s="115"/>
      <c r="I994" s="70">
        <f t="shared" ref="I994" si="469">L992*12*L990</f>
        <v>5760</v>
      </c>
      <c r="J994" s="3"/>
      <c r="K994" s="3"/>
      <c r="L994" s="3"/>
      <c r="M994" s="3"/>
    </row>
    <row r="995" spans="1:13" x14ac:dyDescent="0.45">
      <c r="A995" s="116" t="s">
        <v>580</v>
      </c>
      <c r="B995" s="115"/>
      <c r="C995" s="115"/>
      <c r="D995" s="115"/>
      <c r="E995" s="67">
        <f>IF(真実の家賃!$L$1=TRUE,計算用1!E994,計算用2!E994)</f>
        <v>4450.9080000000004</v>
      </c>
      <c r="F995" s="114" t="s">
        <v>596</v>
      </c>
      <c r="G995" s="115"/>
      <c r="H995" s="115"/>
      <c r="I995" s="70">
        <f>_xlfn.SWITCH(L992,1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240</v>
      </c>
      <c r="J995" s="3"/>
      <c r="K995" s="3"/>
      <c r="L995" s="3"/>
      <c r="M995" s="3"/>
    </row>
    <row r="996" spans="1:13" x14ac:dyDescent="0.45">
      <c r="A996" s="105" t="s">
        <v>581</v>
      </c>
      <c r="B996" s="106"/>
      <c r="C996" s="106"/>
      <c r="D996" s="106"/>
      <c r="E996" s="67">
        <f>IF(真実の家賃!$L$1=TRUE,計算用1!E995,計算用2!E995)</f>
        <v>720</v>
      </c>
      <c r="F996" s="111" t="s">
        <v>582</v>
      </c>
      <c r="G996" s="112"/>
      <c r="H996" s="112"/>
      <c r="I996" s="71">
        <f t="shared" ref="I996" si="470">SUM(I994:I995)</f>
        <v>6000</v>
      </c>
      <c r="J996" s="3"/>
      <c r="K996" s="3"/>
      <c r="L996" s="3"/>
      <c r="M996" s="3"/>
    </row>
    <row r="997" spans="1:13" x14ac:dyDescent="0.45">
      <c r="A997" s="116" t="s">
        <v>9</v>
      </c>
      <c r="B997" s="115"/>
      <c r="C997" s="115"/>
      <c r="D997" s="115"/>
      <c r="E997" s="67">
        <f>IF(真実の家賃!$L$1=TRUE,計算用1!E996,計算用2!E996)</f>
        <v>-295.74127519999996</v>
      </c>
      <c r="F997" s="110" t="s">
        <v>585</v>
      </c>
      <c r="G997" s="106"/>
      <c r="H997" s="106"/>
      <c r="I997" s="70">
        <f t="shared" ref="I997" si="471">15*L991</f>
        <v>60</v>
      </c>
      <c r="J997" s="3"/>
      <c r="K997" s="3"/>
      <c r="L997" s="3"/>
      <c r="M997" s="3"/>
    </row>
    <row r="998" spans="1:13" x14ac:dyDescent="0.45">
      <c r="A998" s="105" t="s">
        <v>10</v>
      </c>
      <c r="B998" s="106"/>
      <c r="C998" s="106"/>
      <c r="D998" s="106"/>
      <c r="E998" s="67">
        <f>IF(真実の家賃!$L$1=TRUE,計算用1!E997,計算用2!E997)</f>
        <v>0</v>
      </c>
      <c r="F998" s="109" t="s">
        <v>586</v>
      </c>
      <c r="G998" s="108"/>
      <c r="H998" s="108"/>
      <c r="I998" s="71">
        <f t="shared" ref="I998" si="472">I997</f>
        <v>60</v>
      </c>
      <c r="J998" s="3"/>
      <c r="K998" s="3"/>
      <c r="L998" s="3"/>
      <c r="M998" s="3"/>
    </row>
    <row r="999" spans="1:13" ht="18.600000000000001" thickBot="1" x14ac:dyDescent="0.5">
      <c r="A999" s="113" t="s">
        <v>582</v>
      </c>
      <c r="B999" s="112"/>
      <c r="C999" s="112"/>
      <c r="D999" s="112"/>
      <c r="E999" s="68">
        <f t="shared" ref="E999" si="473">E995+E996+E997+E998</f>
        <v>4875.1667248000003</v>
      </c>
      <c r="F999" s="103" t="s">
        <v>587</v>
      </c>
      <c r="G999" s="104"/>
      <c r="H999" s="104"/>
      <c r="I999" s="66">
        <f t="shared" ref="I999" si="474">I993+I996+I998</f>
        <v>6260</v>
      </c>
      <c r="J999" s="3"/>
      <c r="K999" s="3"/>
      <c r="L999" s="3"/>
      <c r="M999" s="3"/>
    </row>
    <row r="1000" spans="1:13" x14ac:dyDescent="0.45">
      <c r="A1000" s="105" t="s">
        <v>12</v>
      </c>
      <c r="B1000" s="106"/>
      <c r="C1000" s="106"/>
      <c r="D1000" s="106"/>
      <c r="E1000" s="67">
        <f>IF(真実の家賃!$L$1=TRUE,計算用1!E999,計算用2!E999)</f>
        <v>0</v>
      </c>
      <c r="F1000" s="3"/>
      <c r="G1000" s="3"/>
      <c r="H1000" s="3"/>
      <c r="I1000" s="3"/>
      <c r="J1000" s="3"/>
      <c r="K1000" s="3"/>
      <c r="L1000" s="3"/>
      <c r="M1000" s="3"/>
    </row>
    <row r="1001" spans="1:13" x14ac:dyDescent="0.45">
      <c r="A1001" s="105" t="s">
        <v>584</v>
      </c>
      <c r="B1001" s="106"/>
      <c r="C1001" s="106"/>
      <c r="D1001" s="106"/>
      <c r="E1001" s="67">
        <f>IF(真実の家賃!$L$1=TRUE,計算用1!E1000,計算用2!E1000)</f>
        <v>125.37</v>
      </c>
      <c r="F1001" s="3"/>
      <c r="G1001" s="3"/>
      <c r="H1001" s="3"/>
      <c r="I1001" s="3"/>
      <c r="J1001" s="3"/>
      <c r="K1001" s="3"/>
      <c r="L1001" s="3"/>
      <c r="M1001" s="3"/>
    </row>
    <row r="1002" spans="1:13" x14ac:dyDescent="0.45">
      <c r="A1002" s="105" t="s">
        <v>585</v>
      </c>
      <c r="B1002" s="106"/>
      <c r="C1002" s="106"/>
      <c r="D1002" s="106"/>
      <c r="E1002" s="67">
        <f>$T$8</f>
        <v>15</v>
      </c>
      <c r="F1002" s="3"/>
      <c r="G1002" s="3"/>
      <c r="H1002" s="3"/>
      <c r="I1002" s="3"/>
      <c r="J1002" s="3"/>
      <c r="K1002" s="3"/>
      <c r="L1002" s="3"/>
      <c r="M1002" s="3"/>
    </row>
    <row r="1003" spans="1:13" x14ac:dyDescent="0.45">
      <c r="A1003" s="107" t="s">
        <v>586</v>
      </c>
      <c r="B1003" s="108"/>
      <c r="C1003" s="108"/>
      <c r="D1003" s="108"/>
      <c r="E1003" s="68">
        <f t="shared" ref="E1003" si="475">SUM(E1000:E1002)</f>
        <v>140.37</v>
      </c>
      <c r="F1003" s="3"/>
      <c r="G1003" s="3"/>
      <c r="H1003" s="3"/>
      <c r="I1003" s="3"/>
      <c r="J1003" s="3"/>
      <c r="K1003" s="3"/>
      <c r="L1003" s="3"/>
      <c r="M1003" s="3"/>
    </row>
    <row r="1004" spans="1:13" ht="18.600000000000001" thickBot="1" x14ac:dyDescent="0.5">
      <c r="A1004" s="101" t="s">
        <v>587</v>
      </c>
      <c r="B1004" s="102"/>
      <c r="C1004" s="102"/>
      <c r="D1004" s="102"/>
      <c r="E1004" s="69">
        <f t="shared" ref="E1004" si="476">E994+E999+E1003</f>
        <v>5254.3367248000004</v>
      </c>
      <c r="F1004" s="3"/>
      <c r="G1004" s="3"/>
      <c r="H1004" s="3"/>
      <c r="I1004" s="3"/>
      <c r="J1004" s="3"/>
      <c r="K1004" s="3"/>
      <c r="L1004" s="3"/>
      <c r="M1004" s="3"/>
    </row>
    <row r="1005" spans="1:13" x14ac:dyDescent="0.4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x14ac:dyDescent="0.4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x14ac:dyDescent="0.4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x14ac:dyDescent="0.4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x14ac:dyDescent="0.4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8.600000000000001" thickBot="1" x14ac:dyDescent="0.5">
      <c r="A1010" s="10" t="s">
        <v>588</v>
      </c>
      <c r="B1010" s="61"/>
      <c r="C1010" s="61"/>
      <c r="D1010" s="61"/>
      <c r="E1010" s="61"/>
      <c r="F1010" s="61"/>
      <c r="G1010" s="61"/>
      <c r="H1010" s="100" t="s">
        <v>1</v>
      </c>
      <c r="I1010" s="100"/>
      <c r="J1010" s="3"/>
      <c r="K1010" s="3"/>
      <c r="L1010" s="3"/>
      <c r="M1010" s="3"/>
    </row>
    <row r="1011" spans="1:13" x14ac:dyDescent="0.45">
      <c r="A1011" s="117" t="s">
        <v>576</v>
      </c>
      <c r="B1011" s="118"/>
      <c r="C1011" s="118"/>
      <c r="D1011" s="118"/>
      <c r="E1011" s="119"/>
      <c r="F1011" s="120" t="s">
        <v>577</v>
      </c>
      <c r="G1011" s="121"/>
      <c r="H1011" s="121"/>
      <c r="I1011" s="122"/>
      <c r="J1011" s="3"/>
      <c r="K1011" s="44" t="s">
        <v>590</v>
      </c>
      <c r="L1011" s="39">
        <f>損益分岐点!$M$2</f>
        <v>10</v>
      </c>
      <c r="M1011" s="3" t="s">
        <v>465</v>
      </c>
    </row>
    <row r="1012" spans="1:13" x14ac:dyDescent="0.45">
      <c r="A1012" s="123" t="s">
        <v>578</v>
      </c>
      <c r="B1012" s="124"/>
      <c r="C1012" s="124"/>
      <c r="D1012" s="124"/>
      <c r="E1012" s="65" t="s">
        <v>0</v>
      </c>
      <c r="F1012" s="125" t="s">
        <v>578</v>
      </c>
      <c r="G1012" s="124"/>
      <c r="H1012" s="124"/>
      <c r="I1012" s="65" t="s">
        <v>0</v>
      </c>
      <c r="J1012" s="3"/>
      <c r="K1012" s="58" t="s">
        <v>589</v>
      </c>
      <c r="L1012" s="74">
        <f>$T$6</f>
        <v>4</v>
      </c>
      <c r="M1012" s="3" t="s">
        <v>594</v>
      </c>
    </row>
    <row r="1013" spans="1:13" ht="18.600000000000001" thickBot="1" x14ac:dyDescent="0.5">
      <c r="A1013" s="116" t="s">
        <v>3</v>
      </c>
      <c r="B1013" s="115"/>
      <c r="C1013" s="115"/>
      <c r="D1013" s="115"/>
      <c r="E1013" s="67">
        <f>IF(真実の家賃!$L$1=TRUE,計算用1!E1012,計算用2!E1012)</f>
        <v>0</v>
      </c>
      <c r="F1013" s="114" t="s">
        <v>7</v>
      </c>
      <c r="G1013" s="115"/>
      <c r="H1013" s="115"/>
      <c r="I1013" s="70">
        <f t="shared" ref="I1013" si="477">L1011*5*L1012</f>
        <v>200</v>
      </c>
      <c r="J1013" s="3"/>
      <c r="K1013" s="73" t="s">
        <v>628</v>
      </c>
      <c r="L1013" s="72">
        <v>49</v>
      </c>
      <c r="M1013" s="3" t="s">
        <v>468</v>
      </c>
    </row>
    <row r="1014" spans="1:13" x14ac:dyDescent="0.45">
      <c r="A1014" s="116" t="s">
        <v>6</v>
      </c>
      <c r="B1014" s="115"/>
      <c r="C1014" s="115"/>
      <c r="D1014" s="115"/>
      <c r="E1014" s="67">
        <f>IF(真実の家賃!$L$1=TRUE,計算用1!E1013,計算用2!E1013)</f>
        <v>238.79999999999998</v>
      </c>
      <c r="F1014" s="111" t="s">
        <v>579</v>
      </c>
      <c r="G1014" s="112"/>
      <c r="H1014" s="112"/>
      <c r="I1014" s="71">
        <f t="shared" ref="I1014" si="478">I1013</f>
        <v>200</v>
      </c>
      <c r="J1014" s="3"/>
      <c r="K1014" s="3"/>
      <c r="L1014" s="3"/>
      <c r="M1014" s="3"/>
    </row>
    <row r="1015" spans="1:13" x14ac:dyDescent="0.45">
      <c r="A1015" s="113" t="s">
        <v>579</v>
      </c>
      <c r="B1015" s="112"/>
      <c r="C1015" s="112"/>
      <c r="D1015" s="112"/>
      <c r="E1015" s="68">
        <f t="shared" ref="E1015" si="479">SUM(E1013:E1014)</f>
        <v>238.79999999999998</v>
      </c>
      <c r="F1015" s="114" t="s">
        <v>583</v>
      </c>
      <c r="G1015" s="115"/>
      <c r="H1015" s="115"/>
      <c r="I1015" s="70">
        <f t="shared" ref="I1015" si="480">L1013*12*L1011</f>
        <v>5880</v>
      </c>
      <c r="J1015" s="3"/>
      <c r="K1015" s="3"/>
      <c r="L1015" s="3"/>
      <c r="M1015" s="3"/>
    </row>
    <row r="1016" spans="1:13" x14ac:dyDescent="0.45">
      <c r="A1016" s="116" t="s">
        <v>580</v>
      </c>
      <c r="B1016" s="115"/>
      <c r="C1016" s="115"/>
      <c r="D1016" s="115"/>
      <c r="E1016" s="67">
        <f>IF(真実の家賃!$L$1=TRUE,計算用1!E1015,計算用2!E1015)</f>
        <v>4450.9080000000004</v>
      </c>
      <c r="F1016" s="114" t="s">
        <v>596</v>
      </c>
      <c r="G1016" s="115"/>
      <c r="H1016" s="115"/>
      <c r="I1016" s="70">
        <f>_xlfn.SWITCH(L1013,1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240</v>
      </c>
      <c r="J1016" s="3"/>
      <c r="K1016" s="3"/>
      <c r="L1016" s="3"/>
      <c r="M1016" s="3"/>
    </row>
    <row r="1017" spans="1:13" x14ac:dyDescent="0.45">
      <c r="A1017" s="105" t="s">
        <v>581</v>
      </c>
      <c r="B1017" s="106"/>
      <c r="C1017" s="106"/>
      <c r="D1017" s="106"/>
      <c r="E1017" s="67">
        <f>IF(真実の家賃!$L$1=TRUE,計算用1!E1016,計算用2!E1016)</f>
        <v>735</v>
      </c>
      <c r="F1017" s="111" t="s">
        <v>582</v>
      </c>
      <c r="G1017" s="112"/>
      <c r="H1017" s="112"/>
      <c r="I1017" s="71">
        <f t="shared" ref="I1017" si="481">SUM(I1015:I1016)</f>
        <v>6120</v>
      </c>
      <c r="J1017" s="3"/>
      <c r="K1017" s="3"/>
      <c r="L1017" s="3"/>
      <c r="M1017" s="3"/>
    </row>
    <row r="1018" spans="1:13" x14ac:dyDescent="0.45">
      <c r="A1018" s="116" t="s">
        <v>9</v>
      </c>
      <c r="B1018" s="115"/>
      <c r="C1018" s="115"/>
      <c r="D1018" s="115"/>
      <c r="E1018" s="67">
        <f>IF(真実の家賃!$L$1=TRUE,計算用1!E1017,計算用2!E1017)</f>
        <v>-295.74127519999996</v>
      </c>
      <c r="F1018" s="110" t="s">
        <v>585</v>
      </c>
      <c r="G1018" s="106"/>
      <c r="H1018" s="106"/>
      <c r="I1018" s="70">
        <f t="shared" ref="I1018" si="482">15*L1012</f>
        <v>60</v>
      </c>
      <c r="J1018" s="3"/>
      <c r="K1018" s="3"/>
      <c r="L1018" s="3"/>
      <c r="M1018" s="3"/>
    </row>
    <row r="1019" spans="1:13" x14ac:dyDescent="0.45">
      <c r="A1019" s="105" t="s">
        <v>10</v>
      </c>
      <c r="B1019" s="106"/>
      <c r="C1019" s="106"/>
      <c r="D1019" s="106"/>
      <c r="E1019" s="67">
        <f>IF(真実の家賃!$L$1=TRUE,計算用1!E1018,計算用2!E1018)</f>
        <v>0</v>
      </c>
      <c r="F1019" s="109" t="s">
        <v>586</v>
      </c>
      <c r="G1019" s="108"/>
      <c r="H1019" s="108"/>
      <c r="I1019" s="71">
        <f t="shared" ref="I1019" si="483">I1018</f>
        <v>60</v>
      </c>
      <c r="J1019" s="3"/>
      <c r="K1019" s="3"/>
      <c r="L1019" s="3"/>
      <c r="M1019" s="3"/>
    </row>
    <row r="1020" spans="1:13" ht="18.600000000000001" thickBot="1" x14ac:dyDescent="0.5">
      <c r="A1020" s="113" t="s">
        <v>582</v>
      </c>
      <c r="B1020" s="112"/>
      <c r="C1020" s="112"/>
      <c r="D1020" s="112"/>
      <c r="E1020" s="68">
        <f t="shared" ref="E1020" si="484">E1016+E1017+E1018+E1019</f>
        <v>4890.1667248000003</v>
      </c>
      <c r="F1020" s="103" t="s">
        <v>587</v>
      </c>
      <c r="G1020" s="104"/>
      <c r="H1020" s="104"/>
      <c r="I1020" s="66">
        <f t="shared" ref="I1020" si="485">I1014+I1017+I1019</f>
        <v>6380</v>
      </c>
      <c r="J1020" s="3"/>
      <c r="K1020" s="3"/>
      <c r="L1020" s="3"/>
      <c r="M1020" s="3"/>
    </row>
    <row r="1021" spans="1:13" x14ac:dyDescent="0.45">
      <c r="A1021" s="105" t="s">
        <v>12</v>
      </c>
      <c r="B1021" s="106"/>
      <c r="C1021" s="106"/>
      <c r="D1021" s="106"/>
      <c r="E1021" s="67">
        <f>IF(真実の家賃!$L$1=TRUE,計算用1!E1020,計算用2!E1020)</f>
        <v>0</v>
      </c>
      <c r="F1021" s="3"/>
      <c r="G1021" s="3"/>
      <c r="H1021" s="3"/>
      <c r="I1021" s="3"/>
      <c r="J1021" s="3"/>
      <c r="K1021" s="3"/>
      <c r="L1021" s="3"/>
      <c r="M1021" s="3"/>
    </row>
    <row r="1022" spans="1:13" x14ac:dyDescent="0.45">
      <c r="A1022" s="105" t="s">
        <v>584</v>
      </c>
      <c r="B1022" s="106"/>
      <c r="C1022" s="106"/>
      <c r="D1022" s="106"/>
      <c r="E1022" s="67">
        <f>IF(真実の家賃!$L$1=TRUE,計算用1!E1021,計算用2!E1021)</f>
        <v>125.37</v>
      </c>
      <c r="F1022" s="3"/>
      <c r="G1022" s="3"/>
      <c r="H1022" s="3"/>
      <c r="I1022" s="3"/>
      <c r="J1022" s="3"/>
      <c r="K1022" s="3"/>
      <c r="L1022" s="3"/>
      <c r="M1022" s="3"/>
    </row>
    <row r="1023" spans="1:13" x14ac:dyDescent="0.45">
      <c r="A1023" s="105" t="s">
        <v>585</v>
      </c>
      <c r="B1023" s="106"/>
      <c r="C1023" s="106"/>
      <c r="D1023" s="106"/>
      <c r="E1023" s="67">
        <f>$T$8</f>
        <v>15</v>
      </c>
      <c r="F1023" s="3"/>
      <c r="G1023" s="3"/>
      <c r="H1023" s="3"/>
      <c r="I1023" s="3"/>
      <c r="J1023" s="3"/>
      <c r="K1023" s="3"/>
      <c r="L1023" s="3"/>
      <c r="M1023" s="3"/>
    </row>
    <row r="1024" spans="1:13" x14ac:dyDescent="0.45">
      <c r="A1024" s="107" t="s">
        <v>586</v>
      </c>
      <c r="B1024" s="108"/>
      <c r="C1024" s="108"/>
      <c r="D1024" s="108"/>
      <c r="E1024" s="68">
        <f t="shared" ref="E1024" si="486">SUM(E1021:E1023)</f>
        <v>140.37</v>
      </c>
      <c r="F1024" s="3"/>
      <c r="G1024" s="3"/>
      <c r="H1024" s="3"/>
      <c r="I1024" s="3"/>
      <c r="J1024" s="3"/>
      <c r="K1024" s="3"/>
      <c r="L1024" s="3"/>
      <c r="M1024" s="3"/>
    </row>
    <row r="1025" spans="1:13" ht="18.600000000000001" thickBot="1" x14ac:dyDescent="0.5">
      <c r="A1025" s="101" t="s">
        <v>587</v>
      </c>
      <c r="B1025" s="102"/>
      <c r="C1025" s="102"/>
      <c r="D1025" s="102"/>
      <c r="E1025" s="69">
        <f t="shared" ref="E1025" si="487">E1015+E1020+E1024</f>
        <v>5269.3367248000004</v>
      </c>
      <c r="F1025" s="3"/>
      <c r="G1025" s="3"/>
      <c r="H1025" s="3"/>
      <c r="I1025" s="3"/>
      <c r="J1025" s="3"/>
      <c r="K1025" s="3"/>
      <c r="L1025" s="3"/>
      <c r="M1025" s="3"/>
    </row>
    <row r="1026" spans="1:13" x14ac:dyDescent="0.4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x14ac:dyDescent="0.4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x14ac:dyDescent="0.4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x14ac:dyDescent="0.4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x14ac:dyDescent="0.4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8.600000000000001" thickBot="1" x14ac:dyDescent="0.5">
      <c r="A1031" s="10" t="s">
        <v>588</v>
      </c>
      <c r="B1031" s="61"/>
      <c r="C1031" s="61"/>
      <c r="D1031" s="61"/>
      <c r="E1031" s="61"/>
      <c r="F1031" s="61"/>
      <c r="G1031" s="61"/>
      <c r="H1031" s="100" t="s">
        <v>1</v>
      </c>
      <c r="I1031" s="100"/>
      <c r="J1031" s="3"/>
      <c r="K1031" s="3"/>
      <c r="L1031" s="3"/>
      <c r="M1031" s="3"/>
    </row>
    <row r="1032" spans="1:13" x14ac:dyDescent="0.45">
      <c r="A1032" s="117" t="s">
        <v>576</v>
      </c>
      <c r="B1032" s="118"/>
      <c r="C1032" s="118"/>
      <c r="D1032" s="118"/>
      <c r="E1032" s="119"/>
      <c r="F1032" s="120" t="s">
        <v>577</v>
      </c>
      <c r="G1032" s="121"/>
      <c r="H1032" s="121"/>
      <c r="I1032" s="122"/>
      <c r="J1032" s="3"/>
      <c r="K1032" s="44" t="s">
        <v>590</v>
      </c>
      <c r="L1032" s="39">
        <f>損益分岐点!$M$2</f>
        <v>10</v>
      </c>
      <c r="M1032" s="3" t="s">
        <v>465</v>
      </c>
    </row>
    <row r="1033" spans="1:13" x14ac:dyDescent="0.45">
      <c r="A1033" s="123" t="s">
        <v>578</v>
      </c>
      <c r="B1033" s="124"/>
      <c r="C1033" s="124"/>
      <c r="D1033" s="124"/>
      <c r="E1033" s="65" t="s">
        <v>0</v>
      </c>
      <c r="F1033" s="125" t="s">
        <v>578</v>
      </c>
      <c r="G1033" s="124"/>
      <c r="H1033" s="124"/>
      <c r="I1033" s="65" t="s">
        <v>0</v>
      </c>
      <c r="J1033" s="3"/>
      <c r="K1033" s="58" t="s">
        <v>589</v>
      </c>
      <c r="L1033" s="74">
        <f>$T$6</f>
        <v>4</v>
      </c>
      <c r="M1033" s="3" t="s">
        <v>594</v>
      </c>
    </row>
    <row r="1034" spans="1:13" ht="18.600000000000001" thickBot="1" x14ac:dyDescent="0.5">
      <c r="A1034" s="116" t="s">
        <v>3</v>
      </c>
      <c r="B1034" s="115"/>
      <c r="C1034" s="115"/>
      <c r="D1034" s="115"/>
      <c r="E1034" s="67">
        <f>IF(真実の家賃!$L$1=TRUE,計算用1!E1033,計算用2!E1033)</f>
        <v>0</v>
      </c>
      <c r="F1034" s="114" t="s">
        <v>7</v>
      </c>
      <c r="G1034" s="115"/>
      <c r="H1034" s="115"/>
      <c r="I1034" s="70">
        <f>L1032*5*L1033</f>
        <v>200</v>
      </c>
      <c r="J1034" s="3"/>
      <c r="K1034" s="73" t="s">
        <v>628</v>
      </c>
      <c r="L1034" s="72">
        <v>50</v>
      </c>
      <c r="M1034" s="3" t="s">
        <v>468</v>
      </c>
    </row>
    <row r="1035" spans="1:13" x14ac:dyDescent="0.45">
      <c r="A1035" s="116" t="s">
        <v>6</v>
      </c>
      <c r="B1035" s="115"/>
      <c r="C1035" s="115"/>
      <c r="D1035" s="115"/>
      <c r="E1035" s="67">
        <f>IF(真実の家賃!$L$1=TRUE,計算用1!E1034,計算用2!E1034)</f>
        <v>238.79999999999998</v>
      </c>
      <c r="F1035" s="111" t="s">
        <v>579</v>
      </c>
      <c r="G1035" s="112"/>
      <c r="H1035" s="112"/>
      <c r="I1035" s="71">
        <f t="shared" ref="I1035" si="488">I1034</f>
        <v>200</v>
      </c>
      <c r="J1035" s="3"/>
      <c r="K1035" s="3"/>
      <c r="L1035" s="3"/>
      <c r="M1035" s="3"/>
    </row>
    <row r="1036" spans="1:13" x14ac:dyDescent="0.45">
      <c r="A1036" s="113" t="s">
        <v>579</v>
      </c>
      <c r="B1036" s="112"/>
      <c r="C1036" s="112"/>
      <c r="D1036" s="112"/>
      <c r="E1036" s="68">
        <f t="shared" ref="E1036" si="489">SUM(E1034:E1035)</f>
        <v>238.79999999999998</v>
      </c>
      <c r="F1036" s="114" t="s">
        <v>583</v>
      </c>
      <c r="G1036" s="115"/>
      <c r="H1036" s="115"/>
      <c r="I1036" s="70">
        <f>L1034*12*L1032</f>
        <v>6000</v>
      </c>
      <c r="J1036" s="3"/>
      <c r="K1036" s="3"/>
      <c r="L1036" s="3"/>
      <c r="M1036" s="3"/>
    </row>
    <row r="1037" spans="1:13" x14ac:dyDescent="0.45">
      <c r="A1037" s="116" t="s">
        <v>580</v>
      </c>
      <c r="B1037" s="115"/>
      <c r="C1037" s="115"/>
      <c r="D1037" s="115"/>
      <c r="E1037" s="67">
        <f>IF(真実の家賃!$L$1=TRUE,計算用1!E1036,計算用2!E1036)</f>
        <v>4450.9080000000004</v>
      </c>
      <c r="F1037" s="114" t="s">
        <v>596</v>
      </c>
      <c r="G1037" s="115"/>
      <c r="H1037" s="115"/>
      <c r="I1037" s="70">
        <f>_xlfn.SWITCH(L1034,1,計算用3!$W$3,2,計算用3!$W$4,3,計算用3!$W$4,4,計算用3!$W$5,5,計算用3!$W$5,6,計算用3!$W$6,7,計算用3!$W$6,8,計算用3!$W$7,9,計算用3!$W$7,10,計算用3!$W$8,11,計算用3!$W$8,12,計算用3!$W$9,13,計算用3!$W$9,14,計算用3!$W$10,15,計算用3!$W$10,16,計算用3!$W$11,17,計算用3!$W$11,18,計算用3!$W$12,19,計算用3!$W$12,20,計算用3!$W$13,21,計算用3!$W$13,22,計算用3!$W$14,23,計算用3!$W$14,24,計算用3!$W$15,25,計算用3!$W$15,26,計算用3!$W$16,27,計算用3!$W$16,28,計算用3!$W$17,29,計算用3!$W$17,30,計算用3!$W$18,31,計算用3!$W$18,32,計算用3!$W$19,33,計算用3!$W$19,34,計算用3!$W$20,35,計算用3!$W$20,36,計算用3!$W$21,37,計算用3!$W$21,38,計算用3!$W$22,39,計算用3!$W$22,40,計算用3!$W$23,41,計算用3!$W$23,42,計算用3!$W$24,43,計算用3!$W$24,44,計算用3!$W$25,45,計算用3!$W$25,46,計算用3!$W$26,47,計算用3!$W$26,48,計算用3!$W$27,49,計算用3!$W$27,50,計算用3!$W$28,"該当なし")</f>
        <v>250</v>
      </c>
      <c r="J1037" s="3"/>
      <c r="K1037" s="3"/>
      <c r="L1037" s="3"/>
      <c r="M1037" s="3"/>
    </row>
    <row r="1038" spans="1:13" x14ac:dyDescent="0.45">
      <c r="A1038" s="105" t="s">
        <v>581</v>
      </c>
      <c r="B1038" s="106"/>
      <c r="C1038" s="106"/>
      <c r="D1038" s="106"/>
      <c r="E1038" s="67">
        <f>IF(真実の家賃!$L$1=TRUE,計算用1!E1037,計算用2!E1037)</f>
        <v>750</v>
      </c>
      <c r="F1038" s="111" t="s">
        <v>582</v>
      </c>
      <c r="G1038" s="112"/>
      <c r="H1038" s="112"/>
      <c r="I1038" s="71">
        <f t="shared" ref="I1038" si="490">SUM(I1036:I1037)</f>
        <v>6250</v>
      </c>
      <c r="J1038" s="3"/>
      <c r="K1038" s="3"/>
      <c r="L1038" s="3"/>
      <c r="M1038" s="3"/>
    </row>
    <row r="1039" spans="1:13" x14ac:dyDescent="0.45">
      <c r="A1039" s="116" t="s">
        <v>9</v>
      </c>
      <c r="B1039" s="115"/>
      <c r="C1039" s="115"/>
      <c r="D1039" s="115"/>
      <c r="E1039" s="67">
        <f>IF(真実の家賃!$L$1=TRUE,計算用1!E1038,計算用2!E1038)</f>
        <v>-295.74127519999996</v>
      </c>
      <c r="F1039" s="110" t="s">
        <v>585</v>
      </c>
      <c r="G1039" s="106"/>
      <c r="H1039" s="106"/>
      <c r="I1039" s="70">
        <f>15*L1033</f>
        <v>60</v>
      </c>
      <c r="J1039" s="3"/>
      <c r="K1039" s="3"/>
      <c r="L1039" s="3"/>
      <c r="M1039" s="3"/>
    </row>
    <row r="1040" spans="1:13" x14ac:dyDescent="0.45">
      <c r="A1040" s="105" t="s">
        <v>10</v>
      </c>
      <c r="B1040" s="106"/>
      <c r="C1040" s="106"/>
      <c r="D1040" s="106"/>
      <c r="E1040" s="67">
        <f>IF(真実の家賃!$L$1=TRUE,計算用1!E1039,計算用2!E1039)</f>
        <v>0</v>
      </c>
      <c r="F1040" s="109" t="s">
        <v>586</v>
      </c>
      <c r="G1040" s="108"/>
      <c r="H1040" s="108"/>
      <c r="I1040" s="71">
        <f t="shared" ref="I1040" si="491">I1039</f>
        <v>60</v>
      </c>
      <c r="J1040" s="3"/>
      <c r="K1040" s="3"/>
      <c r="L1040" s="3"/>
      <c r="M1040" s="3"/>
    </row>
    <row r="1041" spans="1:13" ht="18.600000000000001" thickBot="1" x14ac:dyDescent="0.5">
      <c r="A1041" s="113" t="s">
        <v>582</v>
      </c>
      <c r="B1041" s="112"/>
      <c r="C1041" s="112"/>
      <c r="D1041" s="112"/>
      <c r="E1041" s="68">
        <f t="shared" ref="E1041" si="492">E1037+E1038+E1039+E1040</f>
        <v>4905.1667248000003</v>
      </c>
      <c r="F1041" s="103" t="s">
        <v>587</v>
      </c>
      <c r="G1041" s="104"/>
      <c r="H1041" s="104"/>
      <c r="I1041" s="66">
        <f t="shared" ref="I1041" si="493">I1035+I1038+I1040</f>
        <v>6510</v>
      </c>
      <c r="J1041" s="3"/>
      <c r="K1041" s="3"/>
      <c r="L1041" s="3"/>
      <c r="M1041" s="3"/>
    </row>
    <row r="1042" spans="1:13" x14ac:dyDescent="0.45">
      <c r="A1042" s="105" t="s">
        <v>12</v>
      </c>
      <c r="B1042" s="106"/>
      <c r="C1042" s="106"/>
      <c r="D1042" s="106"/>
      <c r="E1042" s="67">
        <f>IF(真実の家賃!$L$1=TRUE,計算用1!E1041,計算用2!E1041)</f>
        <v>0</v>
      </c>
      <c r="F1042" s="3"/>
      <c r="G1042" s="3"/>
      <c r="H1042" s="3"/>
      <c r="I1042" s="3"/>
      <c r="J1042" s="3"/>
      <c r="K1042" s="3"/>
      <c r="L1042" s="3"/>
      <c r="M1042" s="3"/>
    </row>
    <row r="1043" spans="1:13" x14ac:dyDescent="0.45">
      <c r="A1043" s="105" t="s">
        <v>584</v>
      </c>
      <c r="B1043" s="106"/>
      <c r="C1043" s="106"/>
      <c r="D1043" s="106"/>
      <c r="E1043" s="67">
        <f>IF(真実の家賃!$L$1=TRUE,計算用1!E1042,計算用2!E1042)</f>
        <v>125.37</v>
      </c>
      <c r="F1043" s="3"/>
      <c r="G1043" s="3"/>
      <c r="H1043" s="3"/>
      <c r="I1043" s="3"/>
      <c r="J1043" s="3"/>
      <c r="K1043" s="3"/>
      <c r="L1043" s="3"/>
      <c r="M1043" s="3"/>
    </row>
    <row r="1044" spans="1:13" x14ac:dyDescent="0.45">
      <c r="A1044" s="105" t="s">
        <v>585</v>
      </c>
      <c r="B1044" s="106"/>
      <c r="C1044" s="106"/>
      <c r="D1044" s="106"/>
      <c r="E1044" s="67">
        <f>$T$8</f>
        <v>15</v>
      </c>
      <c r="F1044" s="3"/>
      <c r="G1044" s="3"/>
      <c r="H1044" s="3"/>
      <c r="I1044" s="3"/>
      <c r="J1044" s="3"/>
      <c r="K1044" s="3"/>
      <c r="L1044" s="3"/>
      <c r="M1044" s="3"/>
    </row>
    <row r="1045" spans="1:13" x14ac:dyDescent="0.45">
      <c r="A1045" s="107" t="s">
        <v>586</v>
      </c>
      <c r="B1045" s="108"/>
      <c r="C1045" s="108"/>
      <c r="D1045" s="108"/>
      <c r="E1045" s="68">
        <f t="shared" ref="E1045" si="494">SUM(E1042:E1044)</f>
        <v>140.37</v>
      </c>
      <c r="F1045" s="3"/>
      <c r="G1045" s="3"/>
      <c r="H1045" s="3"/>
      <c r="I1045" s="3"/>
      <c r="J1045" s="3"/>
      <c r="K1045" s="3"/>
      <c r="L1045" s="3"/>
      <c r="M1045" s="3"/>
    </row>
    <row r="1046" spans="1:13" ht="18.600000000000001" thickBot="1" x14ac:dyDescent="0.5">
      <c r="A1046" s="101" t="s">
        <v>587</v>
      </c>
      <c r="B1046" s="102"/>
      <c r="C1046" s="102"/>
      <c r="D1046" s="102"/>
      <c r="E1046" s="69">
        <f t="shared" ref="E1046" si="495">E1036+E1041+E1045</f>
        <v>5284.3367248000004</v>
      </c>
      <c r="F1046" s="3"/>
      <c r="G1046" s="3"/>
      <c r="H1046" s="3"/>
      <c r="I1046" s="3"/>
      <c r="J1046" s="3"/>
      <c r="K1046" s="3"/>
      <c r="L1046" s="3"/>
      <c r="M1046" s="3"/>
    </row>
    <row r="1047" spans="1:13" x14ac:dyDescent="0.4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1:13" x14ac:dyDescent="0.4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1:13" x14ac:dyDescent="0.4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1:13" x14ac:dyDescent="0.4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1:13" x14ac:dyDescent="0.4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</sheetData>
  <mergeCells count="1302">
    <mergeCell ref="A8:D8"/>
    <mergeCell ref="F8:H8"/>
    <mergeCell ref="A9:D9"/>
    <mergeCell ref="F9:H9"/>
    <mergeCell ref="A10:D10"/>
    <mergeCell ref="F10:H10"/>
    <mergeCell ref="A5:D5"/>
    <mergeCell ref="F5:H5"/>
    <mergeCell ref="A6:D6"/>
    <mergeCell ref="F6:H6"/>
    <mergeCell ref="A7:D7"/>
    <mergeCell ref="F7:H7"/>
    <mergeCell ref="S1:T1"/>
    <mergeCell ref="V1:W1"/>
    <mergeCell ref="H2:I2"/>
    <mergeCell ref="A3:E3"/>
    <mergeCell ref="F3:I3"/>
    <mergeCell ref="A4:D4"/>
    <mergeCell ref="F4:H4"/>
    <mergeCell ref="A25:D25"/>
    <mergeCell ref="F25:H25"/>
    <mergeCell ref="A26:D26"/>
    <mergeCell ref="F26:H26"/>
    <mergeCell ref="A27:D27"/>
    <mergeCell ref="F27:H27"/>
    <mergeCell ref="A15:D15"/>
    <mergeCell ref="A16:D16"/>
    <mergeCell ref="A17:D17"/>
    <mergeCell ref="H23:I23"/>
    <mergeCell ref="A24:E24"/>
    <mergeCell ref="F24:I24"/>
    <mergeCell ref="A11:D11"/>
    <mergeCell ref="F11:H11"/>
    <mergeCell ref="A12:D12"/>
    <mergeCell ref="F12:H12"/>
    <mergeCell ref="A13:D13"/>
    <mergeCell ref="A14:D14"/>
    <mergeCell ref="A34:D34"/>
    <mergeCell ref="A35:D35"/>
    <mergeCell ref="A36:D36"/>
    <mergeCell ref="A37:D37"/>
    <mergeCell ref="A38:D38"/>
    <mergeCell ref="A31:D31"/>
    <mergeCell ref="F31:H31"/>
    <mergeCell ref="A32:D32"/>
    <mergeCell ref="F32:H32"/>
    <mergeCell ref="A33:D33"/>
    <mergeCell ref="F33:H33"/>
    <mergeCell ref="A28:D28"/>
    <mergeCell ref="F28:H28"/>
    <mergeCell ref="A29:D29"/>
    <mergeCell ref="F29:H29"/>
    <mergeCell ref="A30:D30"/>
    <mergeCell ref="F30:H30"/>
    <mergeCell ref="A59:D59"/>
    <mergeCell ref="H44:I44"/>
    <mergeCell ref="A45:E45"/>
    <mergeCell ref="F45:I45"/>
    <mergeCell ref="H65:I65"/>
    <mergeCell ref="A58:D58"/>
    <mergeCell ref="F54:H54"/>
    <mergeCell ref="A53:D53"/>
    <mergeCell ref="F53:H53"/>
    <mergeCell ref="A54:D54"/>
    <mergeCell ref="A55:D55"/>
    <mergeCell ref="A56:D56"/>
    <mergeCell ref="A57:D57"/>
    <mergeCell ref="A50:D50"/>
    <mergeCell ref="F50:H50"/>
    <mergeCell ref="A51:D51"/>
    <mergeCell ref="F51:H51"/>
    <mergeCell ref="A52:D52"/>
    <mergeCell ref="F52:H52"/>
    <mergeCell ref="A47:D47"/>
    <mergeCell ref="F47:H47"/>
    <mergeCell ref="A48:D48"/>
    <mergeCell ref="F48:H48"/>
    <mergeCell ref="A49:D49"/>
    <mergeCell ref="F49:H49"/>
    <mergeCell ref="A46:D46"/>
    <mergeCell ref="F46:H46"/>
    <mergeCell ref="A72:D72"/>
    <mergeCell ref="F72:H72"/>
    <mergeCell ref="A73:D73"/>
    <mergeCell ref="F73:H73"/>
    <mergeCell ref="A74:D74"/>
    <mergeCell ref="F74:H74"/>
    <mergeCell ref="A69:D69"/>
    <mergeCell ref="F69:H69"/>
    <mergeCell ref="A70:D70"/>
    <mergeCell ref="F70:H70"/>
    <mergeCell ref="A71:D71"/>
    <mergeCell ref="F71:H71"/>
    <mergeCell ref="A66:E66"/>
    <mergeCell ref="F66:I66"/>
    <mergeCell ref="A67:D67"/>
    <mergeCell ref="F67:H67"/>
    <mergeCell ref="A68:D68"/>
    <mergeCell ref="F68:H68"/>
    <mergeCell ref="A89:D89"/>
    <mergeCell ref="F89:H89"/>
    <mergeCell ref="A90:D90"/>
    <mergeCell ref="F90:H90"/>
    <mergeCell ref="A91:D91"/>
    <mergeCell ref="F91:H91"/>
    <mergeCell ref="A80:D80"/>
    <mergeCell ref="H86:I86"/>
    <mergeCell ref="A87:E87"/>
    <mergeCell ref="F87:I87"/>
    <mergeCell ref="A88:D88"/>
    <mergeCell ref="F88:H88"/>
    <mergeCell ref="A75:D75"/>
    <mergeCell ref="F75:H75"/>
    <mergeCell ref="A76:D76"/>
    <mergeCell ref="A77:D77"/>
    <mergeCell ref="A78:D78"/>
    <mergeCell ref="A79:D79"/>
    <mergeCell ref="A99:D99"/>
    <mergeCell ref="A100:D100"/>
    <mergeCell ref="A101:D101"/>
    <mergeCell ref="H107:I107"/>
    <mergeCell ref="A108:E108"/>
    <mergeCell ref="F108:I108"/>
    <mergeCell ref="A95:D95"/>
    <mergeCell ref="F95:H95"/>
    <mergeCell ref="A96:D96"/>
    <mergeCell ref="F96:H96"/>
    <mergeCell ref="A97:D97"/>
    <mergeCell ref="A98:D98"/>
    <mergeCell ref="A92:D92"/>
    <mergeCell ref="F92:H92"/>
    <mergeCell ref="A93:D93"/>
    <mergeCell ref="F93:H93"/>
    <mergeCell ref="A94:D94"/>
    <mergeCell ref="F94:H94"/>
    <mergeCell ref="A115:D115"/>
    <mergeCell ref="F115:H115"/>
    <mergeCell ref="A116:D116"/>
    <mergeCell ref="F116:H116"/>
    <mergeCell ref="A117:D117"/>
    <mergeCell ref="F117:H117"/>
    <mergeCell ref="A112:D112"/>
    <mergeCell ref="F112:H112"/>
    <mergeCell ref="A113:D113"/>
    <mergeCell ref="F113:H113"/>
    <mergeCell ref="A114:D114"/>
    <mergeCell ref="F114:H114"/>
    <mergeCell ref="A109:D109"/>
    <mergeCell ref="F109:H109"/>
    <mergeCell ref="A110:D110"/>
    <mergeCell ref="F110:H110"/>
    <mergeCell ref="A111:D111"/>
    <mergeCell ref="F111:H111"/>
    <mergeCell ref="A132:D132"/>
    <mergeCell ref="F132:H132"/>
    <mergeCell ref="A133:D133"/>
    <mergeCell ref="F133:H133"/>
    <mergeCell ref="A134:D134"/>
    <mergeCell ref="F134:H134"/>
    <mergeCell ref="A129:E129"/>
    <mergeCell ref="F129:I129"/>
    <mergeCell ref="A130:D130"/>
    <mergeCell ref="F130:H130"/>
    <mergeCell ref="A131:D131"/>
    <mergeCell ref="F131:H131"/>
    <mergeCell ref="A118:D118"/>
    <mergeCell ref="A119:D119"/>
    <mergeCell ref="A120:D120"/>
    <mergeCell ref="A121:D121"/>
    <mergeCell ref="A122:D122"/>
    <mergeCell ref="H128:I128"/>
    <mergeCell ref="A143:D143"/>
    <mergeCell ref="H149:I149"/>
    <mergeCell ref="A150:E150"/>
    <mergeCell ref="F150:I150"/>
    <mergeCell ref="A151:D151"/>
    <mergeCell ref="F151:H151"/>
    <mergeCell ref="A138:D138"/>
    <mergeCell ref="F138:H138"/>
    <mergeCell ref="A139:D139"/>
    <mergeCell ref="A140:D140"/>
    <mergeCell ref="A141:D141"/>
    <mergeCell ref="A142:D142"/>
    <mergeCell ref="A135:D135"/>
    <mergeCell ref="F135:H135"/>
    <mergeCell ref="A136:D136"/>
    <mergeCell ref="F136:H136"/>
    <mergeCell ref="A137:D137"/>
    <mergeCell ref="F137:H137"/>
    <mergeCell ref="A158:D158"/>
    <mergeCell ref="F158:H158"/>
    <mergeCell ref="A159:D159"/>
    <mergeCell ref="F159:H159"/>
    <mergeCell ref="A160:D160"/>
    <mergeCell ref="A161:D161"/>
    <mergeCell ref="A155:D155"/>
    <mergeCell ref="F155:H155"/>
    <mergeCell ref="A156:D156"/>
    <mergeCell ref="F156:H156"/>
    <mergeCell ref="A157:D157"/>
    <mergeCell ref="F157:H157"/>
    <mergeCell ref="A152:D152"/>
    <mergeCell ref="F152:H152"/>
    <mergeCell ref="A153:D153"/>
    <mergeCell ref="F153:H153"/>
    <mergeCell ref="A154:D154"/>
    <mergeCell ref="F154:H154"/>
    <mergeCell ref="A175:D175"/>
    <mergeCell ref="F175:H175"/>
    <mergeCell ref="A176:D176"/>
    <mergeCell ref="F176:H176"/>
    <mergeCell ref="A177:D177"/>
    <mergeCell ref="F177:H177"/>
    <mergeCell ref="A172:D172"/>
    <mergeCell ref="F172:H172"/>
    <mergeCell ref="A173:D173"/>
    <mergeCell ref="F173:H173"/>
    <mergeCell ref="A174:D174"/>
    <mergeCell ref="F174:H174"/>
    <mergeCell ref="A162:D162"/>
    <mergeCell ref="A163:D163"/>
    <mergeCell ref="A164:D164"/>
    <mergeCell ref="H170:I170"/>
    <mergeCell ref="A171:E171"/>
    <mergeCell ref="F171:I171"/>
    <mergeCell ref="A192:E192"/>
    <mergeCell ref="F192:I192"/>
    <mergeCell ref="A193:D193"/>
    <mergeCell ref="F193:H193"/>
    <mergeCell ref="A194:D194"/>
    <mergeCell ref="F194:H194"/>
    <mergeCell ref="A181:D181"/>
    <mergeCell ref="A182:D182"/>
    <mergeCell ref="A183:D183"/>
    <mergeCell ref="A184:D184"/>
    <mergeCell ref="A185:D185"/>
    <mergeCell ref="H191:I191"/>
    <mergeCell ref="A178:D178"/>
    <mergeCell ref="F178:H178"/>
    <mergeCell ref="A179:D179"/>
    <mergeCell ref="F179:H179"/>
    <mergeCell ref="A180:D180"/>
    <mergeCell ref="F180:H180"/>
    <mergeCell ref="A201:D201"/>
    <mergeCell ref="F201:H201"/>
    <mergeCell ref="A202:D202"/>
    <mergeCell ref="A203:D203"/>
    <mergeCell ref="A204:D204"/>
    <mergeCell ref="A205:D205"/>
    <mergeCell ref="A198:D198"/>
    <mergeCell ref="F198:H198"/>
    <mergeCell ref="A199:D199"/>
    <mergeCell ref="F199:H199"/>
    <mergeCell ref="A200:D200"/>
    <mergeCell ref="F200:H200"/>
    <mergeCell ref="A195:D195"/>
    <mergeCell ref="F195:H195"/>
    <mergeCell ref="A196:D196"/>
    <mergeCell ref="F196:H196"/>
    <mergeCell ref="A197:D197"/>
    <mergeCell ref="F197:H197"/>
    <mergeCell ref="A218:D218"/>
    <mergeCell ref="F218:H218"/>
    <mergeCell ref="A219:D219"/>
    <mergeCell ref="F219:H219"/>
    <mergeCell ref="A220:D220"/>
    <mergeCell ref="F220:H220"/>
    <mergeCell ref="A215:D215"/>
    <mergeCell ref="F215:H215"/>
    <mergeCell ref="A216:D216"/>
    <mergeCell ref="F216:H216"/>
    <mergeCell ref="A217:D217"/>
    <mergeCell ref="F217:H217"/>
    <mergeCell ref="A206:D206"/>
    <mergeCell ref="H212:I212"/>
    <mergeCell ref="A213:E213"/>
    <mergeCell ref="F213:I213"/>
    <mergeCell ref="A214:D214"/>
    <mergeCell ref="F214:H214"/>
    <mergeCell ref="A235:D235"/>
    <mergeCell ref="F235:H235"/>
    <mergeCell ref="A236:D236"/>
    <mergeCell ref="F236:H236"/>
    <mergeCell ref="A237:D237"/>
    <mergeCell ref="F237:H237"/>
    <mergeCell ref="A225:D225"/>
    <mergeCell ref="A226:D226"/>
    <mergeCell ref="A227:D227"/>
    <mergeCell ref="H233:I233"/>
    <mergeCell ref="A234:E234"/>
    <mergeCell ref="F234:I234"/>
    <mergeCell ref="A221:D221"/>
    <mergeCell ref="F221:H221"/>
    <mergeCell ref="A222:D222"/>
    <mergeCell ref="F222:H222"/>
    <mergeCell ref="A223:D223"/>
    <mergeCell ref="A224:D224"/>
    <mergeCell ref="A244:D244"/>
    <mergeCell ref="A245:D245"/>
    <mergeCell ref="A246:D246"/>
    <mergeCell ref="A247:D247"/>
    <mergeCell ref="A248:D248"/>
    <mergeCell ref="H254:I254"/>
    <mergeCell ref="A241:D241"/>
    <mergeCell ref="F241:H241"/>
    <mergeCell ref="A242:D242"/>
    <mergeCell ref="F242:H242"/>
    <mergeCell ref="A243:D243"/>
    <mergeCell ref="F243:H243"/>
    <mergeCell ref="A238:D238"/>
    <mergeCell ref="F238:H238"/>
    <mergeCell ref="A239:D239"/>
    <mergeCell ref="F239:H239"/>
    <mergeCell ref="A240:D240"/>
    <mergeCell ref="F240:H240"/>
    <mergeCell ref="A261:D261"/>
    <mergeCell ref="F261:H261"/>
    <mergeCell ref="A262:D262"/>
    <mergeCell ref="F262:H262"/>
    <mergeCell ref="A263:D263"/>
    <mergeCell ref="F263:H263"/>
    <mergeCell ref="A258:D258"/>
    <mergeCell ref="F258:H258"/>
    <mergeCell ref="A259:D259"/>
    <mergeCell ref="F259:H259"/>
    <mergeCell ref="A260:D260"/>
    <mergeCell ref="F260:H260"/>
    <mergeCell ref="A255:E255"/>
    <mergeCell ref="F255:I255"/>
    <mergeCell ref="A256:D256"/>
    <mergeCell ref="F256:H256"/>
    <mergeCell ref="A257:D257"/>
    <mergeCell ref="F257:H257"/>
    <mergeCell ref="A278:D278"/>
    <mergeCell ref="F278:H278"/>
    <mergeCell ref="A279:D279"/>
    <mergeCell ref="F279:H279"/>
    <mergeCell ref="A280:D280"/>
    <mergeCell ref="F280:H280"/>
    <mergeCell ref="A269:D269"/>
    <mergeCell ref="H275:I275"/>
    <mergeCell ref="A276:E276"/>
    <mergeCell ref="F276:I276"/>
    <mergeCell ref="A277:D277"/>
    <mergeCell ref="F277:H277"/>
    <mergeCell ref="A264:D264"/>
    <mergeCell ref="F264:H264"/>
    <mergeCell ref="A265:D265"/>
    <mergeCell ref="A266:D266"/>
    <mergeCell ref="A267:D267"/>
    <mergeCell ref="A268:D268"/>
    <mergeCell ref="A288:D288"/>
    <mergeCell ref="A289:D289"/>
    <mergeCell ref="A290:D290"/>
    <mergeCell ref="H296:I296"/>
    <mergeCell ref="A297:E297"/>
    <mergeCell ref="F297:I297"/>
    <mergeCell ref="A284:D284"/>
    <mergeCell ref="F284:H284"/>
    <mergeCell ref="A285:D285"/>
    <mergeCell ref="F285:H285"/>
    <mergeCell ref="A286:D286"/>
    <mergeCell ref="A287:D287"/>
    <mergeCell ref="A281:D281"/>
    <mergeCell ref="F281:H281"/>
    <mergeCell ref="A282:D282"/>
    <mergeCell ref="F282:H282"/>
    <mergeCell ref="A283:D283"/>
    <mergeCell ref="F283:H283"/>
    <mergeCell ref="A304:D304"/>
    <mergeCell ref="F304:H304"/>
    <mergeCell ref="A305:D305"/>
    <mergeCell ref="F305:H305"/>
    <mergeCell ref="A306:D306"/>
    <mergeCell ref="F306:H306"/>
    <mergeCell ref="A301:D301"/>
    <mergeCell ref="F301:H301"/>
    <mergeCell ref="A302:D302"/>
    <mergeCell ref="F302:H302"/>
    <mergeCell ref="A303:D303"/>
    <mergeCell ref="F303:H303"/>
    <mergeCell ref="A298:D298"/>
    <mergeCell ref="F298:H298"/>
    <mergeCell ref="A299:D299"/>
    <mergeCell ref="F299:H299"/>
    <mergeCell ref="A300:D300"/>
    <mergeCell ref="F300:H300"/>
    <mergeCell ref="A321:D321"/>
    <mergeCell ref="F321:H321"/>
    <mergeCell ref="A322:D322"/>
    <mergeCell ref="F322:H322"/>
    <mergeCell ref="A323:D323"/>
    <mergeCell ref="F323:H323"/>
    <mergeCell ref="A318:E318"/>
    <mergeCell ref="F318:I318"/>
    <mergeCell ref="A319:D319"/>
    <mergeCell ref="F319:H319"/>
    <mergeCell ref="A320:D320"/>
    <mergeCell ref="F320:H320"/>
    <mergeCell ref="A307:D307"/>
    <mergeCell ref="A308:D308"/>
    <mergeCell ref="A309:D309"/>
    <mergeCell ref="A310:D310"/>
    <mergeCell ref="A311:D311"/>
    <mergeCell ref="H317:I317"/>
    <mergeCell ref="A341:D341"/>
    <mergeCell ref="F341:H341"/>
    <mergeCell ref="A342:D342"/>
    <mergeCell ref="F342:H342"/>
    <mergeCell ref="A343:D343"/>
    <mergeCell ref="F343:H343"/>
    <mergeCell ref="A332:D332"/>
    <mergeCell ref="A327:D327"/>
    <mergeCell ref="F327:H327"/>
    <mergeCell ref="A328:D328"/>
    <mergeCell ref="A329:D329"/>
    <mergeCell ref="A330:D330"/>
    <mergeCell ref="A331:D331"/>
    <mergeCell ref="A324:D324"/>
    <mergeCell ref="F324:H324"/>
    <mergeCell ref="A325:D325"/>
    <mergeCell ref="F325:H325"/>
    <mergeCell ref="A326:D326"/>
    <mergeCell ref="F326:H326"/>
    <mergeCell ref="A351:D351"/>
    <mergeCell ref="A352:D352"/>
    <mergeCell ref="A353:D353"/>
    <mergeCell ref="H359:I359"/>
    <mergeCell ref="A360:E360"/>
    <mergeCell ref="F360:I360"/>
    <mergeCell ref="A347:D347"/>
    <mergeCell ref="F347:H347"/>
    <mergeCell ref="A348:D348"/>
    <mergeCell ref="F348:H348"/>
    <mergeCell ref="A349:D349"/>
    <mergeCell ref="A350:D350"/>
    <mergeCell ref="A344:D344"/>
    <mergeCell ref="F344:H344"/>
    <mergeCell ref="A345:D345"/>
    <mergeCell ref="F345:H345"/>
    <mergeCell ref="A346:D346"/>
    <mergeCell ref="F346:H346"/>
    <mergeCell ref="A372:D372"/>
    <mergeCell ref="A373:D373"/>
    <mergeCell ref="A374:D374"/>
    <mergeCell ref="H380:I380"/>
    <mergeCell ref="A367:D367"/>
    <mergeCell ref="F367:H367"/>
    <mergeCell ref="A368:D368"/>
    <mergeCell ref="F368:H368"/>
    <mergeCell ref="A369:D369"/>
    <mergeCell ref="F369:H369"/>
    <mergeCell ref="A364:D364"/>
    <mergeCell ref="F364:H364"/>
    <mergeCell ref="A365:D365"/>
    <mergeCell ref="F365:H365"/>
    <mergeCell ref="A366:D366"/>
    <mergeCell ref="F366:H366"/>
    <mergeCell ref="A361:D361"/>
    <mergeCell ref="F361:H361"/>
    <mergeCell ref="A362:D362"/>
    <mergeCell ref="F362:H362"/>
    <mergeCell ref="A363:D363"/>
    <mergeCell ref="F363:H363"/>
    <mergeCell ref="A395:D395"/>
    <mergeCell ref="H338:I338"/>
    <mergeCell ref="A339:E339"/>
    <mergeCell ref="F339:I339"/>
    <mergeCell ref="A340:D340"/>
    <mergeCell ref="F340:H340"/>
    <mergeCell ref="A390:D390"/>
    <mergeCell ref="F390:H390"/>
    <mergeCell ref="A391:D391"/>
    <mergeCell ref="A392:D392"/>
    <mergeCell ref="A393:D393"/>
    <mergeCell ref="A394:D394"/>
    <mergeCell ref="A387:D387"/>
    <mergeCell ref="F387:H387"/>
    <mergeCell ref="A388:D388"/>
    <mergeCell ref="F388:H388"/>
    <mergeCell ref="A389:D389"/>
    <mergeCell ref="F389:H389"/>
    <mergeCell ref="A384:D384"/>
    <mergeCell ref="F384:H384"/>
    <mergeCell ref="A385:D385"/>
    <mergeCell ref="F385:H385"/>
    <mergeCell ref="A386:D386"/>
    <mergeCell ref="F386:H386"/>
    <mergeCell ref="A381:E381"/>
    <mergeCell ref="F381:I381"/>
    <mergeCell ref="A382:D382"/>
    <mergeCell ref="F382:H382"/>
    <mergeCell ref="A383:D383"/>
    <mergeCell ref="F383:H383"/>
    <mergeCell ref="A370:D370"/>
    <mergeCell ref="A371:D371"/>
    <mergeCell ref="A408:D408"/>
    <mergeCell ref="F408:H408"/>
    <mergeCell ref="A409:D409"/>
    <mergeCell ref="F409:H409"/>
    <mergeCell ref="A410:D410"/>
    <mergeCell ref="F410:H410"/>
    <mergeCell ref="A405:D405"/>
    <mergeCell ref="F405:H405"/>
    <mergeCell ref="A406:D406"/>
    <mergeCell ref="F406:H406"/>
    <mergeCell ref="A407:D407"/>
    <mergeCell ref="F407:H407"/>
    <mergeCell ref="H401:I401"/>
    <mergeCell ref="A402:E402"/>
    <mergeCell ref="F402:I402"/>
    <mergeCell ref="A403:D403"/>
    <mergeCell ref="F403:H403"/>
    <mergeCell ref="A404:D404"/>
    <mergeCell ref="F404:H404"/>
    <mergeCell ref="A425:D425"/>
    <mergeCell ref="F425:H425"/>
    <mergeCell ref="A426:D426"/>
    <mergeCell ref="F426:H426"/>
    <mergeCell ref="A427:D427"/>
    <mergeCell ref="F427:H427"/>
    <mergeCell ref="A416:D416"/>
    <mergeCell ref="H422:I422"/>
    <mergeCell ref="A423:E423"/>
    <mergeCell ref="F423:I423"/>
    <mergeCell ref="A424:D424"/>
    <mergeCell ref="F424:H424"/>
    <mergeCell ref="A411:D411"/>
    <mergeCell ref="F411:H411"/>
    <mergeCell ref="A412:D412"/>
    <mergeCell ref="A413:D413"/>
    <mergeCell ref="A414:D414"/>
    <mergeCell ref="A415:D415"/>
    <mergeCell ref="A435:D435"/>
    <mergeCell ref="A436:D436"/>
    <mergeCell ref="A437:D437"/>
    <mergeCell ref="H443:I443"/>
    <mergeCell ref="A444:E444"/>
    <mergeCell ref="F444:I444"/>
    <mergeCell ref="A431:D431"/>
    <mergeCell ref="F431:H431"/>
    <mergeCell ref="A432:D432"/>
    <mergeCell ref="F432:H432"/>
    <mergeCell ref="A433:D433"/>
    <mergeCell ref="A434:D434"/>
    <mergeCell ref="A428:D428"/>
    <mergeCell ref="F428:H428"/>
    <mergeCell ref="A429:D429"/>
    <mergeCell ref="F429:H429"/>
    <mergeCell ref="A430:D430"/>
    <mergeCell ref="F430:H430"/>
    <mergeCell ref="A451:D451"/>
    <mergeCell ref="F451:H451"/>
    <mergeCell ref="A452:D452"/>
    <mergeCell ref="F452:H452"/>
    <mergeCell ref="A453:D453"/>
    <mergeCell ref="F453:H453"/>
    <mergeCell ref="A448:D448"/>
    <mergeCell ref="F448:H448"/>
    <mergeCell ref="A449:D449"/>
    <mergeCell ref="F449:H449"/>
    <mergeCell ref="A450:D450"/>
    <mergeCell ref="F450:H450"/>
    <mergeCell ref="A445:D445"/>
    <mergeCell ref="F445:H445"/>
    <mergeCell ref="A446:D446"/>
    <mergeCell ref="F446:H446"/>
    <mergeCell ref="A447:D447"/>
    <mergeCell ref="F447:H447"/>
    <mergeCell ref="A468:D468"/>
    <mergeCell ref="F468:H468"/>
    <mergeCell ref="A469:D469"/>
    <mergeCell ref="F469:H469"/>
    <mergeCell ref="A470:D470"/>
    <mergeCell ref="F470:H470"/>
    <mergeCell ref="A465:E465"/>
    <mergeCell ref="F465:I465"/>
    <mergeCell ref="A466:D466"/>
    <mergeCell ref="F466:H466"/>
    <mergeCell ref="A467:D467"/>
    <mergeCell ref="F467:H467"/>
    <mergeCell ref="A454:D454"/>
    <mergeCell ref="A455:D455"/>
    <mergeCell ref="A456:D456"/>
    <mergeCell ref="A457:D457"/>
    <mergeCell ref="A458:D458"/>
    <mergeCell ref="H464:I464"/>
    <mergeCell ref="A479:D479"/>
    <mergeCell ref="H485:I485"/>
    <mergeCell ref="A486:E486"/>
    <mergeCell ref="F486:I486"/>
    <mergeCell ref="A487:D487"/>
    <mergeCell ref="F487:H487"/>
    <mergeCell ref="A474:D474"/>
    <mergeCell ref="F474:H474"/>
    <mergeCell ref="A475:D475"/>
    <mergeCell ref="A476:D476"/>
    <mergeCell ref="A477:D477"/>
    <mergeCell ref="A478:D478"/>
    <mergeCell ref="A471:D471"/>
    <mergeCell ref="F471:H471"/>
    <mergeCell ref="A472:D472"/>
    <mergeCell ref="F472:H472"/>
    <mergeCell ref="A473:D473"/>
    <mergeCell ref="F473:H473"/>
    <mergeCell ref="A494:D494"/>
    <mergeCell ref="F494:H494"/>
    <mergeCell ref="A495:D495"/>
    <mergeCell ref="F495:H495"/>
    <mergeCell ref="A496:D496"/>
    <mergeCell ref="A497:D497"/>
    <mergeCell ref="A491:D491"/>
    <mergeCell ref="F491:H491"/>
    <mergeCell ref="A492:D492"/>
    <mergeCell ref="F492:H492"/>
    <mergeCell ref="A493:D493"/>
    <mergeCell ref="F493:H493"/>
    <mergeCell ref="A488:D488"/>
    <mergeCell ref="F488:H488"/>
    <mergeCell ref="A489:D489"/>
    <mergeCell ref="F489:H489"/>
    <mergeCell ref="A490:D490"/>
    <mergeCell ref="F490:H490"/>
    <mergeCell ref="A511:D511"/>
    <mergeCell ref="F511:H511"/>
    <mergeCell ref="A512:D512"/>
    <mergeCell ref="F512:H512"/>
    <mergeCell ref="A513:D513"/>
    <mergeCell ref="F513:H513"/>
    <mergeCell ref="A508:D508"/>
    <mergeCell ref="F508:H508"/>
    <mergeCell ref="A509:D509"/>
    <mergeCell ref="F509:H509"/>
    <mergeCell ref="A510:D510"/>
    <mergeCell ref="F510:H510"/>
    <mergeCell ref="A498:D498"/>
    <mergeCell ref="A499:D499"/>
    <mergeCell ref="A500:D500"/>
    <mergeCell ref="H506:I506"/>
    <mergeCell ref="A507:E507"/>
    <mergeCell ref="F507:I507"/>
    <mergeCell ref="A528:E528"/>
    <mergeCell ref="F528:I528"/>
    <mergeCell ref="A529:D529"/>
    <mergeCell ref="F529:H529"/>
    <mergeCell ref="A530:D530"/>
    <mergeCell ref="F530:H530"/>
    <mergeCell ref="A517:D517"/>
    <mergeCell ref="A518:D518"/>
    <mergeCell ref="A519:D519"/>
    <mergeCell ref="A520:D520"/>
    <mergeCell ref="A521:D521"/>
    <mergeCell ref="H527:I527"/>
    <mergeCell ref="A514:D514"/>
    <mergeCell ref="F514:H514"/>
    <mergeCell ref="A515:D515"/>
    <mergeCell ref="F515:H515"/>
    <mergeCell ref="A516:D516"/>
    <mergeCell ref="F516:H516"/>
    <mergeCell ref="A537:D537"/>
    <mergeCell ref="F537:H537"/>
    <mergeCell ref="A538:D538"/>
    <mergeCell ref="A539:D539"/>
    <mergeCell ref="A540:D540"/>
    <mergeCell ref="A541:D541"/>
    <mergeCell ref="A534:D534"/>
    <mergeCell ref="F534:H534"/>
    <mergeCell ref="A535:D535"/>
    <mergeCell ref="F535:H535"/>
    <mergeCell ref="A536:D536"/>
    <mergeCell ref="F536:H536"/>
    <mergeCell ref="A531:D531"/>
    <mergeCell ref="F531:H531"/>
    <mergeCell ref="A532:D532"/>
    <mergeCell ref="F532:H532"/>
    <mergeCell ref="A533:D533"/>
    <mergeCell ref="F533:H533"/>
    <mergeCell ref="A554:D554"/>
    <mergeCell ref="F554:H554"/>
    <mergeCell ref="A555:D555"/>
    <mergeCell ref="F555:H555"/>
    <mergeCell ref="A556:D556"/>
    <mergeCell ref="F556:H556"/>
    <mergeCell ref="A551:D551"/>
    <mergeCell ref="F551:H551"/>
    <mergeCell ref="A552:D552"/>
    <mergeCell ref="F552:H552"/>
    <mergeCell ref="A553:D553"/>
    <mergeCell ref="F553:H553"/>
    <mergeCell ref="A542:D542"/>
    <mergeCell ref="H548:I548"/>
    <mergeCell ref="A549:E549"/>
    <mergeCell ref="F549:I549"/>
    <mergeCell ref="A550:D550"/>
    <mergeCell ref="F550:H550"/>
    <mergeCell ref="A571:D571"/>
    <mergeCell ref="F571:H571"/>
    <mergeCell ref="A572:D572"/>
    <mergeCell ref="F572:H572"/>
    <mergeCell ref="A573:D573"/>
    <mergeCell ref="F573:H573"/>
    <mergeCell ref="A561:D561"/>
    <mergeCell ref="A562:D562"/>
    <mergeCell ref="A563:D563"/>
    <mergeCell ref="H569:I569"/>
    <mergeCell ref="A570:E570"/>
    <mergeCell ref="F570:I570"/>
    <mergeCell ref="A557:D557"/>
    <mergeCell ref="F557:H557"/>
    <mergeCell ref="A558:D558"/>
    <mergeCell ref="F558:H558"/>
    <mergeCell ref="A559:D559"/>
    <mergeCell ref="A560:D560"/>
    <mergeCell ref="A580:D580"/>
    <mergeCell ref="A581:D581"/>
    <mergeCell ref="A582:D582"/>
    <mergeCell ref="A583:D583"/>
    <mergeCell ref="A584:D584"/>
    <mergeCell ref="H590:I590"/>
    <mergeCell ref="A577:D577"/>
    <mergeCell ref="F577:H577"/>
    <mergeCell ref="A578:D578"/>
    <mergeCell ref="F578:H578"/>
    <mergeCell ref="A579:D579"/>
    <mergeCell ref="F579:H579"/>
    <mergeCell ref="A574:D574"/>
    <mergeCell ref="F574:H574"/>
    <mergeCell ref="A575:D575"/>
    <mergeCell ref="F575:H575"/>
    <mergeCell ref="A576:D576"/>
    <mergeCell ref="F576:H576"/>
    <mergeCell ref="A597:D597"/>
    <mergeCell ref="F597:H597"/>
    <mergeCell ref="A598:D598"/>
    <mergeCell ref="F598:H598"/>
    <mergeCell ref="A599:D599"/>
    <mergeCell ref="F599:H599"/>
    <mergeCell ref="A594:D594"/>
    <mergeCell ref="F594:H594"/>
    <mergeCell ref="A595:D595"/>
    <mergeCell ref="F595:H595"/>
    <mergeCell ref="A596:D596"/>
    <mergeCell ref="F596:H596"/>
    <mergeCell ref="A591:E591"/>
    <mergeCell ref="F591:I591"/>
    <mergeCell ref="A592:D592"/>
    <mergeCell ref="F592:H592"/>
    <mergeCell ref="A593:D593"/>
    <mergeCell ref="F593:H593"/>
    <mergeCell ref="A614:D614"/>
    <mergeCell ref="F614:H614"/>
    <mergeCell ref="A615:D615"/>
    <mergeCell ref="F615:H615"/>
    <mergeCell ref="A616:D616"/>
    <mergeCell ref="F616:H616"/>
    <mergeCell ref="A605:D605"/>
    <mergeCell ref="H611:I611"/>
    <mergeCell ref="A612:E612"/>
    <mergeCell ref="F612:I612"/>
    <mergeCell ref="A613:D613"/>
    <mergeCell ref="F613:H613"/>
    <mergeCell ref="A600:D600"/>
    <mergeCell ref="F600:H600"/>
    <mergeCell ref="A601:D601"/>
    <mergeCell ref="A602:D602"/>
    <mergeCell ref="A603:D603"/>
    <mergeCell ref="A604:D604"/>
    <mergeCell ref="A624:D624"/>
    <mergeCell ref="A625:D625"/>
    <mergeCell ref="A626:D626"/>
    <mergeCell ref="H632:I632"/>
    <mergeCell ref="A633:E633"/>
    <mergeCell ref="F633:I633"/>
    <mergeCell ref="A620:D620"/>
    <mergeCell ref="F620:H620"/>
    <mergeCell ref="A621:D621"/>
    <mergeCell ref="F621:H621"/>
    <mergeCell ref="A622:D622"/>
    <mergeCell ref="A623:D623"/>
    <mergeCell ref="A617:D617"/>
    <mergeCell ref="F617:H617"/>
    <mergeCell ref="A618:D618"/>
    <mergeCell ref="F618:H618"/>
    <mergeCell ref="A619:D619"/>
    <mergeCell ref="F619:H619"/>
    <mergeCell ref="A640:D640"/>
    <mergeCell ref="F640:H640"/>
    <mergeCell ref="A641:D641"/>
    <mergeCell ref="F641:H641"/>
    <mergeCell ref="A642:D642"/>
    <mergeCell ref="F642:H642"/>
    <mergeCell ref="A637:D637"/>
    <mergeCell ref="F637:H637"/>
    <mergeCell ref="A638:D638"/>
    <mergeCell ref="F638:H638"/>
    <mergeCell ref="A639:D639"/>
    <mergeCell ref="F639:H639"/>
    <mergeCell ref="A634:D634"/>
    <mergeCell ref="F634:H634"/>
    <mergeCell ref="A635:D635"/>
    <mergeCell ref="F635:H635"/>
    <mergeCell ref="A636:D636"/>
    <mergeCell ref="F636:H636"/>
    <mergeCell ref="A657:D657"/>
    <mergeCell ref="F657:H657"/>
    <mergeCell ref="A658:D658"/>
    <mergeCell ref="F658:H658"/>
    <mergeCell ref="A659:D659"/>
    <mergeCell ref="F659:H659"/>
    <mergeCell ref="A654:E654"/>
    <mergeCell ref="F654:I654"/>
    <mergeCell ref="A655:D655"/>
    <mergeCell ref="F655:H655"/>
    <mergeCell ref="A656:D656"/>
    <mergeCell ref="F656:H656"/>
    <mergeCell ref="A643:D643"/>
    <mergeCell ref="A644:D644"/>
    <mergeCell ref="A645:D645"/>
    <mergeCell ref="A646:D646"/>
    <mergeCell ref="A647:D647"/>
    <mergeCell ref="A668:D668"/>
    <mergeCell ref="H674:I674"/>
    <mergeCell ref="A675:E675"/>
    <mergeCell ref="F675:I675"/>
    <mergeCell ref="A676:D676"/>
    <mergeCell ref="F676:H676"/>
    <mergeCell ref="A663:D663"/>
    <mergeCell ref="F663:H663"/>
    <mergeCell ref="A664:D664"/>
    <mergeCell ref="A665:D665"/>
    <mergeCell ref="A666:D666"/>
    <mergeCell ref="A667:D667"/>
    <mergeCell ref="A660:D660"/>
    <mergeCell ref="F660:H660"/>
    <mergeCell ref="A661:D661"/>
    <mergeCell ref="F661:H661"/>
    <mergeCell ref="A662:D662"/>
    <mergeCell ref="F662:H662"/>
    <mergeCell ref="A683:D683"/>
    <mergeCell ref="F683:H683"/>
    <mergeCell ref="A684:D684"/>
    <mergeCell ref="F684:H684"/>
    <mergeCell ref="A685:D685"/>
    <mergeCell ref="A686:D686"/>
    <mergeCell ref="A680:D680"/>
    <mergeCell ref="F680:H680"/>
    <mergeCell ref="A681:D681"/>
    <mergeCell ref="F681:H681"/>
    <mergeCell ref="A682:D682"/>
    <mergeCell ref="F682:H682"/>
    <mergeCell ref="A677:D677"/>
    <mergeCell ref="F677:H677"/>
    <mergeCell ref="A678:D678"/>
    <mergeCell ref="F678:H678"/>
    <mergeCell ref="A679:D679"/>
    <mergeCell ref="F679:H679"/>
    <mergeCell ref="A700:D700"/>
    <mergeCell ref="F700:H700"/>
    <mergeCell ref="A701:D701"/>
    <mergeCell ref="F701:H701"/>
    <mergeCell ref="A702:D702"/>
    <mergeCell ref="F702:H702"/>
    <mergeCell ref="A697:D697"/>
    <mergeCell ref="F697:H697"/>
    <mergeCell ref="A698:D698"/>
    <mergeCell ref="F698:H698"/>
    <mergeCell ref="A699:D699"/>
    <mergeCell ref="F699:H699"/>
    <mergeCell ref="A687:D687"/>
    <mergeCell ref="A688:D688"/>
    <mergeCell ref="A689:D689"/>
    <mergeCell ref="H695:I695"/>
    <mergeCell ref="A696:E696"/>
    <mergeCell ref="F696:I696"/>
    <mergeCell ref="A717:E717"/>
    <mergeCell ref="F717:I717"/>
    <mergeCell ref="A718:D718"/>
    <mergeCell ref="F718:H718"/>
    <mergeCell ref="A719:D719"/>
    <mergeCell ref="F719:H719"/>
    <mergeCell ref="A706:D706"/>
    <mergeCell ref="A707:D707"/>
    <mergeCell ref="A708:D708"/>
    <mergeCell ref="A709:D709"/>
    <mergeCell ref="A710:D710"/>
    <mergeCell ref="H716:I716"/>
    <mergeCell ref="A703:D703"/>
    <mergeCell ref="F703:H703"/>
    <mergeCell ref="A704:D704"/>
    <mergeCell ref="F704:H704"/>
    <mergeCell ref="A705:D705"/>
    <mergeCell ref="F705:H705"/>
    <mergeCell ref="A726:D726"/>
    <mergeCell ref="F726:H726"/>
    <mergeCell ref="A727:D727"/>
    <mergeCell ref="A728:D728"/>
    <mergeCell ref="A729:D729"/>
    <mergeCell ref="A730:D730"/>
    <mergeCell ref="A723:D723"/>
    <mergeCell ref="F723:H723"/>
    <mergeCell ref="A724:D724"/>
    <mergeCell ref="F724:H724"/>
    <mergeCell ref="A725:D725"/>
    <mergeCell ref="F725:H725"/>
    <mergeCell ref="A720:D720"/>
    <mergeCell ref="F720:H720"/>
    <mergeCell ref="A721:D721"/>
    <mergeCell ref="F721:H721"/>
    <mergeCell ref="A722:D722"/>
    <mergeCell ref="F722:H722"/>
    <mergeCell ref="A743:D743"/>
    <mergeCell ref="F743:H743"/>
    <mergeCell ref="A744:D744"/>
    <mergeCell ref="F744:H744"/>
    <mergeCell ref="A745:D745"/>
    <mergeCell ref="F745:H745"/>
    <mergeCell ref="A740:D740"/>
    <mergeCell ref="F740:H740"/>
    <mergeCell ref="A741:D741"/>
    <mergeCell ref="F741:H741"/>
    <mergeCell ref="A742:D742"/>
    <mergeCell ref="F742:H742"/>
    <mergeCell ref="A731:D731"/>
    <mergeCell ref="H737:I737"/>
    <mergeCell ref="A738:E738"/>
    <mergeCell ref="F738:I738"/>
    <mergeCell ref="A739:D739"/>
    <mergeCell ref="F739:H739"/>
    <mergeCell ref="A760:D760"/>
    <mergeCell ref="F760:H760"/>
    <mergeCell ref="A761:D761"/>
    <mergeCell ref="F761:H761"/>
    <mergeCell ref="A762:D762"/>
    <mergeCell ref="F762:H762"/>
    <mergeCell ref="A750:D750"/>
    <mergeCell ref="A751:D751"/>
    <mergeCell ref="A752:D752"/>
    <mergeCell ref="H758:I758"/>
    <mergeCell ref="A759:E759"/>
    <mergeCell ref="F759:I759"/>
    <mergeCell ref="A746:D746"/>
    <mergeCell ref="F746:H746"/>
    <mergeCell ref="A747:D747"/>
    <mergeCell ref="F747:H747"/>
    <mergeCell ref="A748:D748"/>
    <mergeCell ref="A749:D749"/>
    <mergeCell ref="A770:D770"/>
    <mergeCell ref="A771:D771"/>
    <mergeCell ref="A772:D772"/>
    <mergeCell ref="A773:D773"/>
    <mergeCell ref="H779:I779"/>
    <mergeCell ref="A766:D766"/>
    <mergeCell ref="F766:H766"/>
    <mergeCell ref="A767:D767"/>
    <mergeCell ref="F767:H767"/>
    <mergeCell ref="A768:D768"/>
    <mergeCell ref="F768:H768"/>
    <mergeCell ref="A763:D763"/>
    <mergeCell ref="F763:H763"/>
    <mergeCell ref="A764:D764"/>
    <mergeCell ref="F764:H764"/>
    <mergeCell ref="A765:D765"/>
    <mergeCell ref="F765:H765"/>
    <mergeCell ref="A794:D794"/>
    <mergeCell ref="H653:I653"/>
    <mergeCell ref="H800:I800"/>
    <mergeCell ref="A801:E801"/>
    <mergeCell ref="F801:I801"/>
    <mergeCell ref="A802:D802"/>
    <mergeCell ref="F802:H802"/>
    <mergeCell ref="A789:D789"/>
    <mergeCell ref="F789:H789"/>
    <mergeCell ref="A790:D790"/>
    <mergeCell ref="A791:D791"/>
    <mergeCell ref="A792:D792"/>
    <mergeCell ref="A793:D793"/>
    <mergeCell ref="A786:D786"/>
    <mergeCell ref="F786:H786"/>
    <mergeCell ref="A787:D787"/>
    <mergeCell ref="F787:H787"/>
    <mergeCell ref="A788:D788"/>
    <mergeCell ref="F788:H788"/>
    <mergeCell ref="A783:D783"/>
    <mergeCell ref="F783:H783"/>
    <mergeCell ref="A784:D784"/>
    <mergeCell ref="F784:H784"/>
    <mergeCell ref="A785:D785"/>
    <mergeCell ref="F785:H785"/>
    <mergeCell ref="A780:E780"/>
    <mergeCell ref="F780:I780"/>
    <mergeCell ref="A781:D781"/>
    <mergeCell ref="F781:H781"/>
    <mergeCell ref="A782:D782"/>
    <mergeCell ref="F782:H782"/>
    <mergeCell ref="A769:D769"/>
    <mergeCell ref="A809:D809"/>
    <mergeCell ref="F809:H809"/>
    <mergeCell ref="A810:D810"/>
    <mergeCell ref="F810:H810"/>
    <mergeCell ref="A811:D811"/>
    <mergeCell ref="A812:D812"/>
    <mergeCell ref="A806:D806"/>
    <mergeCell ref="F806:H806"/>
    <mergeCell ref="A807:D807"/>
    <mergeCell ref="F807:H807"/>
    <mergeCell ref="A808:D808"/>
    <mergeCell ref="F808:H808"/>
    <mergeCell ref="A803:D803"/>
    <mergeCell ref="F803:H803"/>
    <mergeCell ref="A804:D804"/>
    <mergeCell ref="F804:H804"/>
    <mergeCell ref="A805:D805"/>
    <mergeCell ref="F805:H805"/>
    <mergeCell ref="A826:D826"/>
    <mergeCell ref="F826:H826"/>
    <mergeCell ref="A827:D827"/>
    <mergeCell ref="F827:H827"/>
    <mergeCell ref="A828:D828"/>
    <mergeCell ref="F828:H828"/>
    <mergeCell ref="A823:D823"/>
    <mergeCell ref="F823:H823"/>
    <mergeCell ref="A824:D824"/>
    <mergeCell ref="F824:H824"/>
    <mergeCell ref="A825:D825"/>
    <mergeCell ref="F825:H825"/>
    <mergeCell ref="A813:D813"/>
    <mergeCell ref="A814:D814"/>
    <mergeCell ref="A815:D815"/>
    <mergeCell ref="H821:I821"/>
    <mergeCell ref="A822:E822"/>
    <mergeCell ref="F822:I822"/>
    <mergeCell ref="A843:E843"/>
    <mergeCell ref="F843:I843"/>
    <mergeCell ref="A844:D844"/>
    <mergeCell ref="F844:H844"/>
    <mergeCell ref="A845:D845"/>
    <mergeCell ref="F845:H845"/>
    <mergeCell ref="A832:D832"/>
    <mergeCell ref="A833:D833"/>
    <mergeCell ref="A834:D834"/>
    <mergeCell ref="A835:D835"/>
    <mergeCell ref="A836:D836"/>
    <mergeCell ref="H842:I842"/>
    <mergeCell ref="A829:D829"/>
    <mergeCell ref="F829:H829"/>
    <mergeCell ref="A830:D830"/>
    <mergeCell ref="F830:H830"/>
    <mergeCell ref="A831:D831"/>
    <mergeCell ref="F831:H831"/>
    <mergeCell ref="A852:D852"/>
    <mergeCell ref="F852:H852"/>
    <mergeCell ref="A853:D853"/>
    <mergeCell ref="A854:D854"/>
    <mergeCell ref="A855:D855"/>
    <mergeCell ref="A856:D856"/>
    <mergeCell ref="A849:D849"/>
    <mergeCell ref="F849:H849"/>
    <mergeCell ref="A850:D850"/>
    <mergeCell ref="F850:H850"/>
    <mergeCell ref="A851:D851"/>
    <mergeCell ref="F851:H851"/>
    <mergeCell ref="A846:D846"/>
    <mergeCell ref="F846:H846"/>
    <mergeCell ref="A847:D847"/>
    <mergeCell ref="F847:H847"/>
    <mergeCell ref="A848:D848"/>
    <mergeCell ref="F848:H848"/>
    <mergeCell ref="A869:D869"/>
    <mergeCell ref="F869:H869"/>
    <mergeCell ref="A870:D870"/>
    <mergeCell ref="F870:H870"/>
    <mergeCell ref="A871:D871"/>
    <mergeCell ref="F871:H871"/>
    <mergeCell ref="A866:D866"/>
    <mergeCell ref="F866:H866"/>
    <mergeCell ref="A867:D867"/>
    <mergeCell ref="F867:H867"/>
    <mergeCell ref="A868:D868"/>
    <mergeCell ref="F868:H868"/>
    <mergeCell ref="A857:D857"/>
    <mergeCell ref="H863:I863"/>
    <mergeCell ref="A864:E864"/>
    <mergeCell ref="F864:I864"/>
    <mergeCell ref="A865:D865"/>
    <mergeCell ref="F865:H865"/>
    <mergeCell ref="A886:D886"/>
    <mergeCell ref="F886:H886"/>
    <mergeCell ref="A887:D887"/>
    <mergeCell ref="F887:H887"/>
    <mergeCell ref="A888:D888"/>
    <mergeCell ref="F888:H888"/>
    <mergeCell ref="A876:D876"/>
    <mergeCell ref="A877:D877"/>
    <mergeCell ref="A878:D878"/>
    <mergeCell ref="H884:I884"/>
    <mergeCell ref="A885:E885"/>
    <mergeCell ref="F885:I885"/>
    <mergeCell ref="A872:D872"/>
    <mergeCell ref="F872:H872"/>
    <mergeCell ref="A873:D873"/>
    <mergeCell ref="F873:H873"/>
    <mergeCell ref="A874:D874"/>
    <mergeCell ref="A875:D875"/>
    <mergeCell ref="A895:D895"/>
    <mergeCell ref="A896:D896"/>
    <mergeCell ref="A897:D897"/>
    <mergeCell ref="A898:D898"/>
    <mergeCell ref="A899:D899"/>
    <mergeCell ref="H905:I905"/>
    <mergeCell ref="A892:D892"/>
    <mergeCell ref="F892:H892"/>
    <mergeCell ref="A893:D893"/>
    <mergeCell ref="F893:H893"/>
    <mergeCell ref="A894:D894"/>
    <mergeCell ref="F894:H894"/>
    <mergeCell ref="A889:D889"/>
    <mergeCell ref="F889:H889"/>
    <mergeCell ref="A890:D890"/>
    <mergeCell ref="F890:H890"/>
    <mergeCell ref="A891:D891"/>
    <mergeCell ref="F891:H891"/>
    <mergeCell ref="A912:D912"/>
    <mergeCell ref="F912:H912"/>
    <mergeCell ref="A913:D913"/>
    <mergeCell ref="F913:H913"/>
    <mergeCell ref="A914:D914"/>
    <mergeCell ref="F914:H914"/>
    <mergeCell ref="A909:D909"/>
    <mergeCell ref="F909:H909"/>
    <mergeCell ref="A910:D910"/>
    <mergeCell ref="F910:H910"/>
    <mergeCell ref="A911:D911"/>
    <mergeCell ref="F911:H911"/>
    <mergeCell ref="A906:E906"/>
    <mergeCell ref="F906:I906"/>
    <mergeCell ref="A907:D907"/>
    <mergeCell ref="F907:H907"/>
    <mergeCell ref="A908:D908"/>
    <mergeCell ref="F908:H908"/>
    <mergeCell ref="A929:D929"/>
    <mergeCell ref="F929:H929"/>
    <mergeCell ref="A930:D930"/>
    <mergeCell ref="F930:H930"/>
    <mergeCell ref="A931:D931"/>
    <mergeCell ref="F931:H931"/>
    <mergeCell ref="A920:D920"/>
    <mergeCell ref="H926:I926"/>
    <mergeCell ref="A927:E927"/>
    <mergeCell ref="F927:I927"/>
    <mergeCell ref="A928:D928"/>
    <mergeCell ref="F928:H928"/>
    <mergeCell ref="A915:D915"/>
    <mergeCell ref="F915:H915"/>
    <mergeCell ref="A916:D916"/>
    <mergeCell ref="A917:D917"/>
    <mergeCell ref="A918:D918"/>
    <mergeCell ref="A919:D919"/>
    <mergeCell ref="A939:D939"/>
    <mergeCell ref="A940:D940"/>
    <mergeCell ref="A941:D941"/>
    <mergeCell ref="H947:I947"/>
    <mergeCell ref="A948:E948"/>
    <mergeCell ref="F948:I948"/>
    <mergeCell ref="A935:D935"/>
    <mergeCell ref="F935:H935"/>
    <mergeCell ref="A936:D936"/>
    <mergeCell ref="F936:H936"/>
    <mergeCell ref="A937:D937"/>
    <mergeCell ref="A938:D938"/>
    <mergeCell ref="A932:D932"/>
    <mergeCell ref="F932:H932"/>
    <mergeCell ref="A933:D933"/>
    <mergeCell ref="F933:H933"/>
    <mergeCell ref="A934:D934"/>
    <mergeCell ref="F934:H934"/>
    <mergeCell ref="A955:D955"/>
    <mergeCell ref="F955:H955"/>
    <mergeCell ref="A956:D956"/>
    <mergeCell ref="F956:H956"/>
    <mergeCell ref="A957:D957"/>
    <mergeCell ref="F957:H957"/>
    <mergeCell ref="A952:D952"/>
    <mergeCell ref="F952:H952"/>
    <mergeCell ref="A953:D953"/>
    <mergeCell ref="F953:H953"/>
    <mergeCell ref="A954:D954"/>
    <mergeCell ref="F954:H954"/>
    <mergeCell ref="A949:D949"/>
    <mergeCell ref="F949:H949"/>
    <mergeCell ref="A950:D950"/>
    <mergeCell ref="F950:H950"/>
    <mergeCell ref="A951:D951"/>
    <mergeCell ref="F951:H951"/>
    <mergeCell ref="A972:D972"/>
    <mergeCell ref="F972:H972"/>
    <mergeCell ref="A973:D973"/>
    <mergeCell ref="F973:H973"/>
    <mergeCell ref="A974:D974"/>
    <mergeCell ref="F974:H974"/>
    <mergeCell ref="A969:E969"/>
    <mergeCell ref="F969:I969"/>
    <mergeCell ref="A970:D970"/>
    <mergeCell ref="F970:H970"/>
    <mergeCell ref="A971:D971"/>
    <mergeCell ref="F971:H971"/>
    <mergeCell ref="A958:D958"/>
    <mergeCell ref="A959:D959"/>
    <mergeCell ref="A960:D960"/>
    <mergeCell ref="A961:D961"/>
    <mergeCell ref="A962:D962"/>
    <mergeCell ref="H968:I968"/>
    <mergeCell ref="A983:D983"/>
    <mergeCell ref="H989:I989"/>
    <mergeCell ref="A990:E990"/>
    <mergeCell ref="F990:I990"/>
    <mergeCell ref="A991:D991"/>
    <mergeCell ref="F991:H991"/>
    <mergeCell ref="A978:D978"/>
    <mergeCell ref="F978:H978"/>
    <mergeCell ref="A979:D979"/>
    <mergeCell ref="A980:D980"/>
    <mergeCell ref="A981:D981"/>
    <mergeCell ref="A982:D982"/>
    <mergeCell ref="A975:D975"/>
    <mergeCell ref="F975:H975"/>
    <mergeCell ref="A976:D976"/>
    <mergeCell ref="F976:H976"/>
    <mergeCell ref="A977:D977"/>
    <mergeCell ref="F977:H977"/>
    <mergeCell ref="A998:D998"/>
    <mergeCell ref="F998:H998"/>
    <mergeCell ref="A999:D999"/>
    <mergeCell ref="F999:H999"/>
    <mergeCell ref="A1000:D1000"/>
    <mergeCell ref="A1001:D1001"/>
    <mergeCell ref="A995:D995"/>
    <mergeCell ref="F995:H995"/>
    <mergeCell ref="A996:D996"/>
    <mergeCell ref="F996:H996"/>
    <mergeCell ref="A997:D997"/>
    <mergeCell ref="F997:H997"/>
    <mergeCell ref="A992:D992"/>
    <mergeCell ref="F992:H992"/>
    <mergeCell ref="A993:D993"/>
    <mergeCell ref="F993:H993"/>
    <mergeCell ref="A994:D994"/>
    <mergeCell ref="F994:H994"/>
    <mergeCell ref="A1015:D1015"/>
    <mergeCell ref="F1015:H1015"/>
    <mergeCell ref="A1016:D1016"/>
    <mergeCell ref="F1016:H1016"/>
    <mergeCell ref="A1017:D1017"/>
    <mergeCell ref="F1017:H1017"/>
    <mergeCell ref="A1012:D1012"/>
    <mergeCell ref="F1012:H1012"/>
    <mergeCell ref="A1013:D1013"/>
    <mergeCell ref="F1013:H1013"/>
    <mergeCell ref="A1014:D1014"/>
    <mergeCell ref="F1014:H1014"/>
    <mergeCell ref="A1002:D1002"/>
    <mergeCell ref="A1003:D1003"/>
    <mergeCell ref="A1004:D1004"/>
    <mergeCell ref="H1010:I1010"/>
    <mergeCell ref="A1011:E1011"/>
    <mergeCell ref="F1011:I1011"/>
    <mergeCell ref="A1032:E1032"/>
    <mergeCell ref="F1032:I1032"/>
    <mergeCell ref="A1033:D1033"/>
    <mergeCell ref="F1033:H1033"/>
    <mergeCell ref="A1034:D1034"/>
    <mergeCell ref="F1034:H1034"/>
    <mergeCell ref="A1021:D1021"/>
    <mergeCell ref="A1022:D1022"/>
    <mergeCell ref="A1023:D1023"/>
    <mergeCell ref="A1024:D1024"/>
    <mergeCell ref="A1025:D1025"/>
    <mergeCell ref="H1031:I1031"/>
    <mergeCell ref="A1018:D1018"/>
    <mergeCell ref="F1018:H1018"/>
    <mergeCell ref="A1019:D1019"/>
    <mergeCell ref="F1019:H1019"/>
    <mergeCell ref="A1020:D1020"/>
    <mergeCell ref="F1020:H1020"/>
    <mergeCell ref="A1046:D1046"/>
    <mergeCell ref="A1041:D1041"/>
    <mergeCell ref="F1041:H1041"/>
    <mergeCell ref="A1042:D1042"/>
    <mergeCell ref="A1043:D1043"/>
    <mergeCell ref="A1044:D1044"/>
    <mergeCell ref="A1045:D1045"/>
    <mergeCell ref="A1038:D1038"/>
    <mergeCell ref="F1038:H1038"/>
    <mergeCell ref="A1039:D1039"/>
    <mergeCell ref="F1039:H1039"/>
    <mergeCell ref="A1040:D1040"/>
    <mergeCell ref="F1040:H1040"/>
    <mergeCell ref="A1035:D1035"/>
    <mergeCell ref="F1035:H1035"/>
    <mergeCell ref="A1036:D1036"/>
    <mergeCell ref="F1036:H1036"/>
    <mergeCell ref="A1037:D1037"/>
    <mergeCell ref="F1037:H103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真実の家賃</vt:lpstr>
      <vt:lpstr>損益分岐点</vt:lpstr>
      <vt:lpstr>計算用1</vt:lpstr>
      <vt:lpstr>計算用2</vt:lpstr>
      <vt:lpstr>計算用3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和田知也</dc:creator>
  <cp:lastModifiedBy>和田知也</cp:lastModifiedBy>
  <dcterms:created xsi:type="dcterms:W3CDTF">2022-06-12T02:08:52Z</dcterms:created>
  <dcterms:modified xsi:type="dcterms:W3CDTF">2022-08-08T09:01:56Z</dcterms:modified>
</cp:coreProperties>
</file>